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65521" yWindow="45" windowWidth="24030" windowHeight="4590" tabRatio="1000" firstSheet="12" activeTab="16"/>
  </bookViews>
  <sheets>
    <sheet name="KP TCOS" sheetId="1" r:id="rId1"/>
    <sheet name="KP WS A  - RB Support " sheetId="2" r:id="rId2"/>
    <sheet name="KP WS B ADIT &amp; ITC" sheetId="3" r:id="rId3"/>
    <sheet name="KP WS C  - Working Capital" sheetId="4" r:id="rId4"/>
    <sheet name="KP WS D IPP Credits" sheetId="5" r:id="rId5"/>
    <sheet name="KP WS E Rev Credits" sheetId="6" r:id="rId6"/>
    <sheet name="KP WS F Misc Exp" sheetId="7" r:id="rId7"/>
    <sheet name="KP WS G  State Tax Rate" sheetId="8" r:id="rId8"/>
    <sheet name="KP WS H Other Taxes" sheetId="9" r:id="rId9"/>
    <sheet name="KP WS H-1-Detail of Tax Amts" sheetId="10" r:id="rId10"/>
    <sheet name="KP WS I Reserved" sheetId="11" r:id="rId11"/>
    <sheet name="KP WS J PROJECTED RTEP RR" sheetId="12" r:id="rId12"/>
    <sheet name="KP WS K TRUE-UP RTEP RR" sheetId="13" r:id="rId13"/>
    <sheet name="KP WS L Reserved" sheetId="14" r:id="rId14"/>
    <sheet name="KP WS M - Avg Cap Structure" sheetId="15" r:id="rId15"/>
    <sheet name="KP WS N - Sale of Plant Held" sheetId="16" r:id="rId16"/>
    <sheet name="KP -WS O" sheetId="17" r:id="rId17"/>
    <sheet name="KP-WS P Dep. Rates" sheetId="18" r:id="rId18"/>
    <sheet name="KP WS Q Interest" sheetId="19" r:id="rId19"/>
  </sheets>
  <externalReferences>
    <externalReference r:id="rId22"/>
    <externalReference r:id="rId23"/>
    <externalReference r:id="rId24"/>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'KP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'KP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'KP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'KP TCOS'!$J$105</definedName>
    <definedName name="NP_h1">#REF!</definedName>
    <definedName name="NPh" localSheetId="9">#REF!</definedName>
    <definedName name="NPh">'KP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'KP TCOS'!$A$1:$L$378</definedName>
    <definedName name="_xlnm.Print_Area" localSheetId="1">'KP WS A  - RB Support '!$A$1:$G$93</definedName>
    <definedName name="_xlnm.Print_Area" localSheetId="2">'KP WS B ADIT &amp; ITC'!$A$1:$I$54</definedName>
    <definedName name="_xlnm.Print_Area" localSheetId="3">'KP WS C  - Working Capital'!$A$1:$L$81</definedName>
    <definedName name="_xlnm.Print_Area" localSheetId="4">'KP WS D IPP Credits'!$A$1:$E$26</definedName>
    <definedName name="_xlnm.Print_Area" localSheetId="5">'KP WS E Rev Credits'!$A$1:$K$36</definedName>
    <definedName name="_xlnm.Print_Area" localSheetId="6">'KP WS F Misc Exp'!$A$1:$G$64</definedName>
    <definedName name="_xlnm.Print_Area" localSheetId="7">'KP WS G  State Tax Rate'!$A$1:$H$37</definedName>
    <definedName name="_xlnm.Print_Area" localSheetId="8">'KP WS H Other Taxes'!$A$1:$M$89</definedName>
    <definedName name="_xlnm.Print_Area" localSheetId="9">'KP WS H-1-Detail of Tax Amts'!$A$1:$G$96</definedName>
    <definedName name="_xlnm.Print_Area" localSheetId="10">'KP WS I Reserved'!$A$1:$J$52</definedName>
    <definedName name="_xlnm.Print_Area" localSheetId="11">'KP WS J PROJECTED RTEP RR'!$A$1:$O$169</definedName>
    <definedName name="_xlnm.Print_Area" localSheetId="12">'KP WS K TRUE-UP RTEP RR'!$A$1:$P$168</definedName>
    <definedName name="_xlnm.Print_Area" localSheetId="13">'KP WS L Reserved'!$A$1:$F$42</definedName>
    <definedName name="_xlnm.Print_Area" localSheetId="14">'KP WS M - Avg Cap Structure'!$A$1:$I$87</definedName>
    <definedName name="_xlnm.Print_Area" localSheetId="15">'KP WS N - Sale of Plant Held'!$A$1:$U$33</definedName>
    <definedName name="_xlnm.Print_Area" localSheetId="16">'KP -WS O'!$A$1:$K$55</definedName>
    <definedName name="_xlnm.Print_Area" localSheetId="17">'KP-WS P Dep. Rates'!#REF!</definedName>
    <definedName name="_xlnm.Print_Titles" localSheetId="1">'KP WS A  - RB Support '!$2:$9</definedName>
    <definedName name="_xlnm.Print_Titles" localSheetId="3">'KP WS C  - Working Capital'!$1:$7</definedName>
    <definedName name="_xlnm.Print_Titles" localSheetId="8">'KP WS H Other Taxes'!$1:$5</definedName>
    <definedName name="_xlnm.Print_Titles" localSheetId="9">'KP WS H-1-Detail of Tax Amts'!$1:$5</definedName>
    <definedName name="_xlnm.Print_Titles" localSheetId="16">'KP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'KP WS A  - RB Support '!#REF!</definedName>
    <definedName name="Z_3768C7C8_9953_11DA_B318_000FB55D51DC_.wvu.PrintArea" localSheetId="3" hidden="1">'KP WS C  - Working Capital'!$A$8:$N$81</definedName>
    <definedName name="Z_3768C7C8_9953_11DA_B318_000FB55D51DC_.wvu.PrintTitles" localSheetId="1" hidden="1">'KP WS A  - RB Support '!#REF!</definedName>
    <definedName name="Z_3768C7C8_9953_11DA_B318_000FB55D51DC_.wvu.PrintTitles" localSheetId="3" hidden="1">'KP WS C  - Working Capital'!#REF!</definedName>
    <definedName name="Z_3768C7C8_9953_11DA_B318_000FB55D51DC_.wvu.Rows" localSheetId="1" hidden="1">'KP WS A  - RB Support '!#REF!</definedName>
    <definedName name="Z_3768C7C8_9953_11DA_B318_000FB55D51DC_.wvu.Rows" localSheetId="3" hidden="1">'KP WS C  - Working Capital'!#REF!</definedName>
    <definedName name="Z_3BDD6235_B127_4929_8311_BDAF7BB89818_.wvu.PrintArea" localSheetId="1" hidden="1">'KP WS A  - RB Support '!#REF!</definedName>
    <definedName name="Z_3BDD6235_B127_4929_8311_BDAF7BB89818_.wvu.PrintArea" localSheetId="3" hidden="1">'KP WS C  - Working Capital'!$A$8:$N$81</definedName>
    <definedName name="Z_3BDD6235_B127_4929_8311_BDAF7BB89818_.wvu.PrintTitles" localSheetId="1" hidden="1">'KP WS A  - RB Support '!#REF!</definedName>
    <definedName name="Z_3BDD6235_B127_4929_8311_BDAF7BB89818_.wvu.PrintTitles" localSheetId="3" hidden="1">'KP WS C  - Working Capital'!#REF!</definedName>
    <definedName name="Z_3BDD6235_B127_4929_8311_BDAF7BB89818_.wvu.Rows" localSheetId="1" hidden="1">'KP WS A  - RB Support '!#REF!</definedName>
    <definedName name="Z_3BDD6235_B127_4929_8311_BDAF7BB89818_.wvu.Rows" localSheetId="3" hidden="1">'KP WS C  - Working Capital'!#REF!</definedName>
    <definedName name="Z_B0241363_5C8A_48FC_89A6_56D55586BABE_.wvu.PrintArea" localSheetId="1" hidden="1">'KP WS A  - RB Support '!#REF!</definedName>
    <definedName name="Z_B0241363_5C8A_48FC_89A6_56D55586BABE_.wvu.PrintArea" localSheetId="3" hidden="1">'KP WS C  - Working Capital'!$A$8:$N$81</definedName>
    <definedName name="Z_B0241363_5C8A_48FC_89A6_56D55586BABE_.wvu.PrintTitles" localSheetId="1" hidden="1">'KP WS A  - RB Support '!#REF!</definedName>
    <definedName name="Z_B0241363_5C8A_48FC_89A6_56D55586BABE_.wvu.PrintTitles" localSheetId="3" hidden="1">'KP WS C  - Working Capital'!#REF!</definedName>
    <definedName name="Z_B0241363_5C8A_48FC_89A6_56D55586BABE_.wvu.Rows" localSheetId="1" hidden="1">'KP WS A  - RB Support '!#REF!</definedName>
    <definedName name="Z_B0241363_5C8A_48FC_89A6_56D55586BABE_.wvu.Rows" localSheetId="3" hidden="1">'KP WS C  - Working Capital'!#REF!</definedName>
    <definedName name="Z_C0EA0F9F_7310_4201_82C9_7B8FC8DB9137_.wvu.PrintArea" localSheetId="1" hidden="1">'KP WS A  - RB Support '!#REF!</definedName>
    <definedName name="Z_C0EA0F9F_7310_4201_82C9_7B8FC8DB9137_.wvu.PrintArea" localSheetId="3" hidden="1">'KP WS C  - Working Capital'!$A$8:$N$81</definedName>
    <definedName name="Z_C0EA0F9F_7310_4201_82C9_7B8FC8DB9137_.wvu.PrintTitles" localSheetId="1" hidden="1">'KP WS A  - RB Support '!#REF!</definedName>
    <definedName name="Z_C0EA0F9F_7310_4201_82C9_7B8FC8DB9137_.wvu.PrintTitles" localSheetId="3" hidden="1">'KP WS C  - Working Capital'!#REF!</definedName>
    <definedName name="Z_C0EA0F9F_7310_4201_82C9_7B8FC8DB9137_.wvu.Rows" localSheetId="1" hidden="1">'KP WS A  - RB Support '!#REF!</definedName>
    <definedName name="Z_C0EA0F9F_7310_4201_82C9_7B8FC8DB9137_.wvu.Rows" localSheetId="3" hidden="1">'KP WS C  - Working Capital'!#REF!</definedName>
    <definedName name="Z_C5140E12_E05E_4473_9142_42F37320A417_.wvu.Cols" localSheetId="8" hidden="1">'KP WS H Other Taxes'!$N:$N</definedName>
    <definedName name="Z_C5140E12_E05E_4473_9142_42F37320A417_.wvu.Cols" localSheetId="9" hidden="1">'KP WS H-1-Detail of Tax Amts'!#REF!</definedName>
    <definedName name="Z_C5140E12_E05E_4473_9142_42F37320A417_.wvu.PrintArea" localSheetId="0" hidden="1">'KP TCOS'!$B$1:$L$367</definedName>
    <definedName name="Z_C5140E12_E05E_4473_9142_42F37320A417_.wvu.PrintArea" localSheetId="1" hidden="1">'KP WS A  - RB Support '!$A$1:$G$89</definedName>
    <definedName name="Z_C5140E12_E05E_4473_9142_42F37320A417_.wvu.PrintArea" localSheetId="2" hidden="1">'KP WS B ADIT &amp; ITC'!$A$1:$I$54</definedName>
    <definedName name="Z_C5140E12_E05E_4473_9142_42F37320A417_.wvu.PrintArea" localSheetId="3" hidden="1">'KP WS C  - Working Capital'!$A$1:$L$81</definedName>
    <definedName name="Z_C5140E12_E05E_4473_9142_42F37320A417_.wvu.PrintArea" localSheetId="4" hidden="1">'KP WS D IPP Credits'!$A$1:$E$26</definedName>
    <definedName name="Z_C5140E12_E05E_4473_9142_42F37320A417_.wvu.PrintArea" localSheetId="5" hidden="1">'KP WS E Rev Credits'!$A$1:$K$30</definedName>
    <definedName name="Z_C5140E12_E05E_4473_9142_42F37320A417_.wvu.PrintArea" localSheetId="6" hidden="1">'KP WS F Misc Exp'!$A$1:$G$64</definedName>
    <definedName name="Z_C5140E12_E05E_4473_9142_42F37320A417_.wvu.PrintArea" localSheetId="7" hidden="1">'KP WS G  State Tax Rate'!$A$1:$H$37</definedName>
    <definedName name="Z_C5140E12_E05E_4473_9142_42F37320A417_.wvu.PrintArea" localSheetId="8" hidden="1">'KP WS H Other Taxes'!$A$1:$N$73</definedName>
    <definedName name="Z_C5140E12_E05E_4473_9142_42F37320A417_.wvu.PrintArea" localSheetId="9" hidden="1">'KP WS H-1-Detail of Tax Amts'!$A$1:$F$91</definedName>
    <definedName name="Z_C5140E12_E05E_4473_9142_42F37320A417_.wvu.PrintArea" localSheetId="10" hidden="1">'KP WS I Reserved'!$A$1:$J$52</definedName>
    <definedName name="Z_C5140E12_E05E_4473_9142_42F37320A417_.wvu.PrintArea" localSheetId="11" hidden="1">'KP WS J PROJECTED RTEP RR'!$A$1:$O$82</definedName>
    <definedName name="Z_C5140E12_E05E_4473_9142_42F37320A417_.wvu.PrintArea" localSheetId="12" hidden="1">'KP WS K TRUE-UP RTEP RR'!$A$1:$P$82</definedName>
    <definedName name="Z_C5140E12_E05E_4473_9142_42F37320A417_.wvu.PrintArea" localSheetId="13" hidden="1">'KP WS L Reserved'!$B$1:$F$42</definedName>
    <definedName name="Z_C5140E12_E05E_4473_9142_42F37320A417_.wvu.PrintTitles" localSheetId="1" hidden="1">'KP WS A  - RB Support '!$2:$9</definedName>
    <definedName name="Z_C5140E12_E05E_4473_9142_42F37320A417_.wvu.PrintTitles" localSheetId="3" hidden="1">'KP WS C  - Working Capital'!$1:$7</definedName>
    <definedName name="Z_C5140E12_E05E_4473_9142_42F37320A417_.wvu.PrintTitles" localSheetId="8" hidden="1">'KP WS H Other Taxes'!$1:$5</definedName>
    <definedName name="Z_C5140E12_E05E_4473_9142_42F37320A417_.wvu.PrintTitles" localSheetId="9" hidden="1">'KP WS H-1-Detail of Tax Amts'!$1:$5</definedName>
    <definedName name="Zip">#REF!</definedName>
  </definedNames>
  <calcPr fullCalcOnLoad="1"/>
</workbook>
</file>

<file path=xl/sharedStrings.xml><?xml version="1.0" encoding="utf-8"?>
<sst xmlns="http://schemas.openxmlformats.org/spreadsheetml/2006/main" count="1461" uniqueCount="858">
  <si>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</si>
  <si>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</si>
  <si>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</si>
  <si>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</si>
  <si>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</si>
  <si>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</si>
  <si>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</si>
  <si>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</si>
  <si>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</si>
  <si>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</si>
  <si>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</si>
  <si>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</si>
  <si>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</si>
  <si>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</si>
  <si>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</si>
  <si>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</si>
  <si>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</si>
  <si>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</si>
  <si>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</si>
  <si>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</si>
  <si>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</si>
  <si>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</si>
  <si>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</si>
  <si>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</si>
  <si>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</si>
  <si>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</si>
  <si>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</si>
  <si>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</si>
  <si>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</si>
  <si>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</si>
  <si>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</si>
  <si>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</si>
  <si>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</si>
  <si>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</si>
  <si>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</si>
  <si>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</si>
  <si>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</si>
  <si>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</si>
  <si>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</si>
  <si>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</si>
  <si>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</si>
  <si>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</si>
  <si>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</si>
  <si>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</si>
  <si>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</si>
  <si>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</si>
  <si>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</si>
  <si>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</si>
  <si>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</si>
  <si>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</si>
  <si>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</si>
  <si>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</si>
  <si>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</si>
  <si>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</si>
  <si>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</si>
  <si>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</si>
  <si>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</si>
  <si>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</si>
  <si>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</si>
  <si>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</si>
  <si>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</si>
  <si>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</si>
  <si>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</si>
  <si>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</si>
  <si>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</si>
  <si>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</si>
  <si>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</si>
  <si>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</si>
  <si>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</si>
  <si>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</si>
  <si>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</si>
  <si>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</si>
  <si>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</si>
  <si>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</si>
  <si>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</si>
  <si>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</si>
  <si>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</si>
  <si>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</si>
  <si>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</si>
  <si>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</si>
  <si>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</si>
  <si>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</si>
  <si>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</si>
  <si>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</si>
  <si>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</si>
  <si>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</si>
  <si>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</si>
  <si>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</si>
  <si>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</si>
  <si>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</si>
  <si>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</si>
  <si>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</si>
  <si>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</si>
  <si>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</si>
  <si>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</si>
  <si>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</si>
  <si>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</si>
  <si>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</si>
  <si>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</si>
  <si>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</si>
  <si>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</si>
  <si>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</si>
  <si>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</si>
  <si>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</si>
  <si>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</si>
  <si>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</si>
  <si>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</si>
  <si>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</si>
  <si>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</si>
  <si>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</si>
  <si>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</si>
  <si>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</si>
  <si>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</si>
  <si>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</si>
  <si>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</si>
  <si>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</si>
  <si>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</si>
  <si>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</si>
  <si>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</si>
  <si>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</si>
  <si>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</si>
  <si>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</si>
  <si>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</si>
  <si>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</si>
  <si>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</si>
  <si>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</si>
  <si>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</si>
  <si>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</si>
  <si>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</si>
  <si>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</si>
  <si>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</si>
  <si>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</si>
  <si>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</si>
  <si>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</si>
  <si>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</si>
  <si>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</si>
  <si>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</si>
  <si>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</si>
  <si>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</si>
  <si>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</si>
  <si>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</si>
  <si>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</si>
  <si>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</si>
  <si>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</si>
  <si>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</si>
  <si>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</si>
  <si>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</si>
  <si>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</si>
  <si>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</si>
  <si>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</si>
  <si>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</si>
  <si>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</si>
  <si>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</si>
  <si>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</si>
  <si>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</si>
  <si>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</si>
  <si>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</si>
  <si>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</si>
  <si>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</si>
  <si>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</si>
  <si>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</si>
  <si>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</si>
  <si>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</si>
  <si>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</si>
  <si>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</si>
  <si>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</si>
  <si>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</si>
  <si>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</si>
  <si>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</si>
  <si>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</si>
  <si>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</si>
  <si>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</si>
  <si>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</si>
  <si>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</si>
  <si>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</si>
  <si>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</si>
  <si>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</si>
  <si>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</si>
  <si>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</si>
  <si>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</si>
  <si>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</si>
  <si>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</si>
  <si>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</si>
  <si>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</si>
  <si>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</si>
  <si>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</si>
  <si>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</si>
  <si>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</si>
  <si>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</si>
  <si>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</si>
  <si>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</si>
  <si>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</si>
  <si>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</si>
  <si>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</si>
  <si>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</si>
  <si>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</si>
  <si>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</si>
  <si>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</si>
  <si>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</si>
  <si>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</si>
  <si>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</si>
  <si>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</si>
  <si>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</si>
  <si>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</si>
  <si>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</si>
  <si>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</si>
  <si>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</si>
  <si>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</si>
  <si>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</si>
  <si>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</si>
  <si>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</si>
  <si>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</si>
  <si>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</si>
  <si>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</si>
  <si>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</si>
  <si>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</si>
  <si>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</si>
  <si>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9301006</t>
  </si>
  <si>
    <t>Spec Corporate Comm Info Proj</t>
  </si>
  <si>
    <t>9301010</t>
  </si>
  <si>
    <t>Publicity</t>
  </si>
  <si>
    <t>9301014</t>
  </si>
  <si>
    <t>Video Communications</t>
  </si>
  <si>
    <t>9301015</t>
  </si>
  <si>
    <t>Other Corporate Comm Exp</t>
  </si>
  <si>
    <t>9280000</t>
  </si>
  <si>
    <t>9280002</t>
  </si>
  <si>
    <t>9301011</t>
  </si>
  <si>
    <t>Dedications, Tours, &amp; Openings</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</si>
  <si>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</si>
  <si>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</si>
  <si>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</si>
  <si>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</si>
  <si>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</si>
  <si>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</si>
  <si>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</si>
  <si>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</si>
  <si>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</si>
  <si>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</si>
  <si>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</si>
  <si>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</si>
  <si>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</si>
  <si>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</si>
  <si>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</si>
  <si>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</si>
  <si>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</si>
  <si>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</si>
  <si>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</si>
  <si>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</si>
  <si>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</si>
  <si>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</si>
  <si>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</si>
  <si>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</si>
  <si>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</si>
  <si>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</si>
  <si>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</si>
  <si>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</si>
  <si>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</si>
  <si>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</si>
  <si>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</si>
  <si>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</si>
  <si>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</si>
  <si>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</si>
  <si>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</si>
  <si>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</si>
  <si>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</si>
  <si>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</si>
  <si>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</si>
  <si>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</si>
  <si>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</si>
  <si>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</si>
  <si>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</si>
  <si>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</si>
  <si>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</si>
  <si>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</si>
  <si>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</si>
  <si>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</si>
  <si>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</si>
  <si>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</si>
  <si>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</si>
  <si>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</si>
  <si>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</si>
  <si>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</si>
  <si>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</si>
  <si>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</si>
  <si>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</si>
  <si>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</si>
  <si>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</si>
  <si>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</si>
  <si>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</si>
  <si>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</si>
  <si>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</si>
  <si>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</si>
  <si>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</si>
  <si>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</si>
  <si>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</si>
  <si>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</si>
  <si>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</si>
  <si>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</si>
  <si>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</si>
  <si>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</si>
  <si>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</si>
  <si>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</si>
  <si>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</si>
  <si>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</si>
  <si>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</si>
  <si>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</si>
  <si>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</si>
  <si>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</si>
  <si>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</si>
  <si>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</si>
  <si>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</si>
  <si>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</si>
  <si>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</si>
  <si>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</si>
  <si>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</si>
  <si>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</si>
  <si>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</si>
  <si>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</si>
  <si>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</si>
  <si>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</si>
  <si>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</si>
  <si>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</si>
  <si>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</si>
  <si>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</si>
  <si>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</si>
  <si>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</si>
  <si>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</si>
  <si>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</si>
  <si>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</si>
  <si>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</si>
  <si>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</si>
  <si>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</si>
  <si>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</si>
  <si>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</si>
  <si>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</si>
  <si>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</si>
  <si>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</si>
  <si>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</si>
  <si>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</si>
  <si>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</si>
  <si>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</si>
  <si>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</si>
  <si>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</si>
  <si>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</si>
  <si>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</si>
  <si>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</si>
  <si>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</si>
  <si>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</si>
  <si>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</si>
  <si>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</si>
  <si>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</si>
  <si>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</si>
  <si>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</si>
  <si>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</si>
  <si>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</si>
  <si>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</si>
  <si>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</si>
  <si>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</si>
  <si>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</si>
  <si>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</si>
  <si>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</si>
  <si>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</si>
  <si>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</si>
  <si>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</si>
  <si>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</si>
  <si>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</si>
  <si>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</si>
  <si>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</si>
  <si>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</si>
  <si>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</si>
  <si>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</si>
  <si>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</si>
  <si>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</si>
  <si>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</si>
  <si>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</si>
  <si>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</si>
  <si>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</si>
  <si>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</si>
  <si>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</si>
  <si>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</si>
  <si>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</si>
  <si>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</si>
  <si>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</si>
  <si>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</si>
  <si>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</si>
  <si>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</si>
  <si>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</si>
  <si>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</si>
  <si>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</si>
  <si>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</si>
  <si>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</si>
  <si>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</si>
  <si>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</si>
  <si>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</si>
  <si>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</si>
  <si>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</si>
  <si>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</si>
  <si>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</si>
  <si>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</si>
  <si>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</si>
  <si>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</si>
  <si>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</si>
  <si>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</si>
  <si>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</si>
  <si>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</si>
  <si>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</si>
  <si>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</si>
  <si>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</si>
  <si>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</si>
  <si>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</si>
  <si>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</si>
  <si>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</si>
  <si>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</si>
  <si>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</si>
  <si>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</si>
  <si>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</si>
  <si>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</si>
  <si>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</si>
  <si>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</si>
  <si>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</si>
  <si>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</si>
  <si>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</si>
  <si>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</si>
  <si>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</si>
  <si>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</si>
  <si>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</si>
  <si>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</si>
  <si>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</si>
  <si>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</si>
  <si>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</si>
  <si>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</si>
  <si>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</si>
  <si>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</si>
  <si>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</si>
  <si>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</si>
  <si>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</si>
  <si>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</si>
  <si>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</si>
  <si>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</si>
  <si>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</si>
  <si>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</si>
  <si>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</si>
  <si>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</si>
  <si>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</si>
  <si>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</si>
  <si>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</si>
  <si>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</si>
  <si>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</si>
  <si>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</si>
  <si>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</si>
  <si>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</si>
  <si>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</si>
  <si>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</si>
  <si>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</si>
  <si>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</si>
  <si>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Prepaid Lease</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</si>
  <si>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</si>
  <si>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</si>
  <si>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</si>
  <si>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</si>
  <si>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</si>
  <si>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</si>
  <si>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</si>
  <si>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</si>
  <si>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</si>
  <si>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</si>
  <si>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</si>
  <si>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</si>
  <si>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</si>
  <si>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</si>
  <si>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</si>
  <si>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</si>
  <si>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</si>
  <si>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</si>
  <si>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</si>
  <si>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</si>
  <si>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</si>
  <si>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</si>
  <si>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</si>
  <si>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</si>
  <si>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</si>
  <si>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</si>
  <si>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</si>
  <si>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</si>
  <si>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</si>
  <si>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</si>
  <si>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</si>
  <si>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</si>
  <si>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</si>
  <si>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</si>
  <si>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</si>
  <si>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</si>
  <si>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</si>
  <si>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</si>
  <si>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</si>
  <si>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</si>
  <si>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</si>
  <si>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</si>
  <si>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</si>
  <si>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</si>
  <si>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</si>
  <si>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</si>
  <si>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</si>
  <si>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</si>
  <si>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</si>
  <si>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</si>
  <si>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</si>
  <si>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</si>
  <si>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</si>
  <si>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</si>
  <si>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</si>
  <si>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</si>
  <si>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</si>
  <si>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</si>
  <si>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</si>
  <si>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</si>
  <si>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</si>
  <si>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</si>
  <si>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</si>
  <si>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</si>
  <si>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</si>
  <si>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</si>
  <si>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</si>
  <si>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</si>
  <si>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</si>
  <si>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</si>
  <si>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</si>
  <si>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</si>
  <si>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</si>
  <si>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</si>
  <si>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</si>
  <si>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</si>
  <si>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</si>
  <si>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</si>
  <si>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</si>
  <si>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</si>
  <si>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</si>
  <si>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</si>
  <si>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</si>
  <si>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</si>
  <si>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</si>
  <si>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</si>
  <si>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</si>
  <si>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</si>
  <si>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</si>
  <si>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</si>
  <si>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</si>
  <si>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</si>
  <si>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</si>
  <si>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</si>
  <si>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</si>
  <si>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</si>
  <si>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</si>
  <si>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</si>
  <si>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</si>
  <si>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</si>
  <si>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</si>
  <si>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</si>
  <si>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</si>
  <si>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</si>
  <si>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</si>
  <si>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</si>
  <si>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</si>
  <si>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</si>
  <si>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</si>
  <si>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</si>
  <si>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</si>
  <si>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</si>
  <si>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</si>
  <si>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</si>
  <si>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</si>
  <si>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</si>
  <si>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</si>
  <si>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</si>
  <si>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</si>
  <si>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</si>
  <si>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</si>
  <si>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</si>
  <si>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</si>
  <si>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</si>
  <si>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</si>
  <si>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</si>
  <si>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</si>
  <si>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</si>
  <si>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</si>
  <si>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</si>
  <si>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</si>
  <si>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</si>
  <si>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</si>
  <si>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</si>
  <si>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</si>
  <si>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</si>
  <si>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</si>
  <si>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</si>
  <si>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</si>
  <si>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</si>
  <si>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</si>
  <si>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</si>
  <si>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</si>
  <si>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</si>
  <si>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</si>
  <si>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</si>
  <si>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</si>
  <si>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</si>
  <si>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</si>
  <si>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</si>
  <si>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</si>
  <si>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</si>
  <si>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</si>
  <si>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</si>
  <si>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</si>
  <si>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</si>
  <si>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Prepaid Sales Taxes</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</si>
  <si>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</si>
  <si>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</si>
  <si>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</si>
  <si>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</si>
  <si>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</si>
  <si>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</si>
  <si>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</si>
  <si>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Phase-out Factor Note 1</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</si>
  <si>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</si>
  <si>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</si>
  <si>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</si>
  <si>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</si>
  <si>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</si>
  <si>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</si>
  <si>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</si>
  <si>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</si>
  <si>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</si>
  <si>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</si>
  <si>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</si>
  <si>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</si>
  <si>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</si>
  <si>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</si>
  <si>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</si>
  <si>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</si>
  <si>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</si>
  <si>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</si>
  <si>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</si>
  <si>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</si>
  <si>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</si>
  <si>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</si>
  <si>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</si>
  <si>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</si>
  <si>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</si>
  <si>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</si>
  <si>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</si>
  <si>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</si>
  <si>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</si>
  <si>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</si>
  <si>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</si>
  <si>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</si>
  <si>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</si>
  <si>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</si>
  <si>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</si>
  <si>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</si>
  <si>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</si>
  <si>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</si>
  <si>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</si>
  <si>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</si>
  <si>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</si>
  <si>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</si>
  <si>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</si>
  <si>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</si>
  <si>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</si>
  <si>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</si>
  <si>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</si>
  <si>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</si>
  <si>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</si>
  <si>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</si>
  <si>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</si>
  <si>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</si>
  <si>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</si>
  <si>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</si>
  <si>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</si>
  <si>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Other Prepayments</t>
  </si>
  <si>
    <t>1650009</t>
  </si>
  <si>
    <t>Prepaid Carry Cost-Factored AR</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</si>
  <si>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</si>
  <si>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</si>
  <si>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</si>
  <si>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</si>
  <si>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</si>
  <si>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</si>
  <si>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</si>
  <si>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Illinois Corporation Income Tax Rate</t>
  </si>
  <si>
    <t>General Materials &amp; Supplies</t>
  </si>
  <si>
    <t>Stores Expense (Undistributed)</t>
  </si>
  <si>
    <t xml:space="preserve">  Stores Expense </t>
  </si>
  <si>
    <t>Excludable</t>
  </si>
  <si>
    <t>Plant Related Insurance Policies</t>
  </si>
  <si>
    <t>Prepayment Balance Summary</t>
  </si>
  <si>
    <t>Assoc Business Development Exp</t>
  </si>
  <si>
    <t>AEPSC nonaffiliated expense</t>
  </si>
  <si>
    <t>Prepaid OCIP Work Comp</t>
  </si>
  <si>
    <t>Health Savings Program</t>
  </si>
  <si>
    <t>Excess Deferred Income Tax</t>
  </si>
  <si>
    <t>Tax Affect of Permanent Differences</t>
  </si>
  <si>
    <t>Twleve Months Ended</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</si>
  <si>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</si>
  <si>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</si>
  <si>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</si>
  <si>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</si>
  <si>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</si>
  <si>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</si>
  <si>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</si>
  <si>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</si>
  <si>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</si>
  <si>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</si>
  <si>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</si>
  <si>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</si>
  <si>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</si>
  <si>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</si>
  <si>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</si>
  <si>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</si>
  <si>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</si>
  <si>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</si>
  <si>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</si>
  <si>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</si>
  <si>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</si>
  <si>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</si>
  <si>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</si>
  <si>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</si>
  <si>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</si>
  <si>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</si>
  <si>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</si>
  <si>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</si>
  <si>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</si>
  <si>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</si>
  <si>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</si>
  <si>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</si>
  <si>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</si>
  <si>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</si>
  <si>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</si>
  <si>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</si>
  <si>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</si>
  <si>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</si>
  <si>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</si>
  <si>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</si>
  <si>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</si>
  <si>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</si>
  <si>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</si>
  <si>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</si>
  <si>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</si>
  <si>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</si>
  <si>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</si>
  <si>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</si>
  <si>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</si>
  <si>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</si>
  <si>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</si>
  <si>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</si>
  <si>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</si>
  <si>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</si>
  <si>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</si>
  <si>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</si>
  <si>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</si>
  <si>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</si>
  <si>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</si>
  <si>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</si>
  <si>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</si>
  <si>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</si>
  <si>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</si>
  <si>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</si>
  <si>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</si>
  <si>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</si>
  <si>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</si>
  <si>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</si>
  <si>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</si>
  <si>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</si>
  <si>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AR Factoring - Retail Only</t>
  </si>
  <si>
    <t>West Virginia Net Income Tax Rate</t>
  </si>
  <si>
    <t>Michigan Business Income Tax Rate</t>
  </si>
  <si>
    <t>WEST VA JURISDICTION</t>
  </si>
  <si>
    <t>Less: Net Value  Exempted Generation Plant</t>
  </si>
  <si>
    <t>Taxable Property Basis</t>
  </si>
  <si>
    <t>P.263.1 ln 4 (i)</t>
  </si>
  <si>
    <t>P.263.1 ln 29 (i)</t>
  </si>
  <si>
    <t>P.263.1 ln 8 (i)</t>
  </si>
  <si>
    <t xml:space="preserve">**  This is the total amount that needs to be reported to PJM for billing to all regions. </t>
  </si>
  <si>
    <t>KENTUCKY POWER COMPANY</t>
  </si>
  <si>
    <t>165000215</t>
  </si>
  <si>
    <t>165001215</t>
  </si>
  <si>
    <t>Prepaid Use Taxes</t>
  </si>
  <si>
    <t>165001115</t>
  </si>
  <si>
    <t>1650021</t>
  </si>
  <si>
    <t>1650023</t>
  </si>
  <si>
    <t>Prepaid OCIP Work Comp-Aff</t>
  </si>
  <si>
    <t>PRW Without Med-D Benefits</t>
  </si>
  <si>
    <t>PRW for Med-D Benefits</t>
  </si>
  <si>
    <t>FAS 158 Contra-PRW Exc Med-D</t>
  </si>
  <si>
    <t>Distribution Prepayments</t>
  </si>
  <si>
    <t>Prepaid Fees-Distribution</t>
  </si>
  <si>
    <t>Use Taxes-Distribution</t>
  </si>
  <si>
    <t>Sales Taxes-Distribution</t>
  </si>
  <si>
    <t>Prepaid Ins. - EIS</t>
  </si>
  <si>
    <t>Distribution Lease</t>
  </si>
  <si>
    <t>Work Comp</t>
  </si>
  <si>
    <t>Med-D Benefits</t>
  </si>
  <si>
    <t>No Applicable Charges for KP</t>
  </si>
  <si>
    <t>Kentucky Corporate  Income Tax Rate</t>
  </si>
  <si>
    <t>State Income Tax Rate - Ohio</t>
  </si>
  <si>
    <t>P.263.2 ln 11 (i)</t>
  </si>
  <si>
    <t>P.263.2 ln 12 (i)</t>
  </si>
  <si>
    <t>P.263.1 ln 31 (i)</t>
  </si>
  <si>
    <t>P.263.1 ln 39 (i)</t>
  </si>
  <si>
    <t>P.263.1 ln 1 (i)</t>
  </si>
  <si>
    <t>P.263.1 ln 2 (i)</t>
  </si>
  <si>
    <t>P.263.1 ln 3 (i)</t>
  </si>
  <si>
    <t>P.263.1 ln 5 (i)</t>
  </si>
  <si>
    <t>P.263.1 ln 6 (i)</t>
  </si>
  <si>
    <t>P.263.1 ln 7 (i)</t>
  </si>
  <si>
    <t>Real and Personal Property - Kentucky</t>
  </si>
  <si>
    <t>Real and Personal Property - W VA</t>
  </si>
  <si>
    <t>P.263.1 ln 32 (i)</t>
  </si>
  <si>
    <t>P.263.1 ln 33 (i)</t>
  </si>
  <si>
    <t>P.263.1 ln 35 (i)</t>
  </si>
  <si>
    <t>P.263.1 ln 36 (i)</t>
  </si>
  <si>
    <t>Real and Personal Property - Other</t>
  </si>
  <si>
    <t>P.263.2 ln 22 (i)</t>
  </si>
  <si>
    <t>P.263 ln 4 (i)</t>
  </si>
  <si>
    <t>P.263 ln 5 (i)</t>
  </si>
  <si>
    <t>P.263 ln 29 (i)</t>
  </si>
  <si>
    <t xml:space="preserve"> P.263.1 ln 40 (i)</t>
  </si>
  <si>
    <t xml:space="preserve"> P.263.2 ln 1 (i)</t>
  </si>
  <si>
    <t>P.263.1 ln 30 (i)</t>
  </si>
  <si>
    <t>P.263 ln 31 (i)</t>
  </si>
  <si>
    <t>P.263 ln 32 (i)</t>
  </si>
  <si>
    <t>P.263.1 ln 19 (i)</t>
  </si>
  <si>
    <t>P.263.1 ln 24 (i)</t>
  </si>
  <si>
    <t>P.263 ln 27 (i)</t>
  </si>
  <si>
    <t>P.263.1 ln 38 (i)</t>
  </si>
  <si>
    <t>P.263 ln 34 (i)</t>
  </si>
  <si>
    <t>P.263 ln 35 (i)</t>
  </si>
  <si>
    <t>P.263 ln 7 (i)</t>
  </si>
  <si>
    <t>P.263 ln 8 (i)</t>
  </si>
  <si>
    <t>Real and Personal Property - W Va</t>
  </si>
  <si>
    <t>KENTUCKY JURISDICTION</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</si>
  <si>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</si>
  <si>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</si>
  <si>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</si>
  <si>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Senior Unsecured Notes - Series E</t>
  </si>
  <si>
    <t>September 2007</t>
  </si>
  <si>
    <t>September 2017</t>
  </si>
  <si>
    <t>Unsecured Notes</t>
  </si>
  <si>
    <t>PJM FORMULA RATE</t>
  </si>
  <si>
    <t>WORKSHEET P - TRANSMISSION DEPRECIATION RATES</t>
  </si>
  <si>
    <t>EFFECTIVE AS OF 07/1/2015</t>
  </si>
  <si>
    <t>FOR SINGLE JURISDICTION COMPANIES</t>
  </si>
  <si>
    <t>KENTUCKY  POWER COMPANY</t>
  </si>
  <si>
    <t xml:space="preserve">  Land Rights</t>
  </si>
  <si>
    <t xml:space="preserve">  Overhead Conductors</t>
  </si>
  <si>
    <t>Reference:</t>
  </si>
  <si>
    <t>Note 1:  Rates Approved in KPSC Case No. 2014-00396.</t>
  </si>
  <si>
    <t>General Note</t>
  </si>
  <si>
    <t xml:space="preserve">(Worksheet E Ln 8) (Note A) </t>
  </si>
  <si>
    <t>(Worksheet E Ln 9) (Note X)</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</si>
</sst>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mmmm\ dd\,\ yyyy"/>
    <numFmt numFmtId="216" formatCode="_(&quot;$&quot;* #,##0.000_);_(&quot;$&quot;* \(#,##0.000\);_(&quot;$&quot;* &quot;-&quot;??_);_(@_)"/>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1"/>
      <color indexed="8"/>
      <name val="Calibri"/>
      <family val="2"/>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9"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19"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19" fillId="0" borderId="0">
      <alignment/>
      <protection/>
    </xf>
    <xf numFmtId="0" fontId="119"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9"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3">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47" applyFont="1" applyFill="1" applyAlignment="1">
      <alignment horizontal="center"/>
      <protection/>
    </xf>
    <xf numFmtId="0" fontId="14" fillId="0" borderId="0" xfId="147" applyFont="1" applyFill="1">
      <alignment/>
      <protection/>
    </xf>
    <xf numFmtId="9" fontId="9" fillId="0" borderId="0" xfId="147" applyNumberFormat="1" applyFont="1" applyFill="1" applyAlignment="1" quotePrefix="1">
      <alignment horizontal="center"/>
      <protection/>
    </xf>
    <xf numFmtId="0" fontId="16" fillId="0" borderId="0" xfId="147" applyFont="1" applyAlignment="1">
      <alignment horizontal="right"/>
      <protection/>
    </xf>
    <xf numFmtId="0" fontId="16" fillId="0" borderId="0" xfId="147" applyFont="1" applyAlignment="1">
      <alignment horizontal="center"/>
      <protection/>
    </xf>
    <xf numFmtId="0" fontId="16" fillId="0" borderId="0" xfId="147" applyFont="1" applyFill="1" applyAlignment="1">
      <alignment horizontal="center"/>
      <protection/>
    </xf>
    <xf numFmtId="9" fontId="9" fillId="0" borderId="0" xfId="14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47" applyFont="1" applyFill="1">
      <alignment/>
      <protection/>
    </xf>
    <xf numFmtId="41" fontId="0" fillId="0" borderId="0" xfId="147" applyNumberFormat="1" applyFont="1" applyFill="1">
      <alignment/>
      <protection/>
    </xf>
    <xf numFmtId="0" fontId="14" fillId="0" borderId="0" xfId="147" applyFont="1" applyFill="1" applyAlignment="1">
      <alignment horizontal="left"/>
      <protection/>
    </xf>
    <xf numFmtId="3" fontId="0" fillId="0" borderId="0" xfId="0" applyNumberFormat="1" applyFont="1" applyFill="1" applyAlignment="1">
      <alignment/>
    </xf>
    <xf numFmtId="0" fontId="3" fillId="0" borderId="0" xfId="147" applyFont="1" applyFill="1" applyAlignment="1">
      <alignment horizontal="right"/>
      <protection/>
    </xf>
    <xf numFmtId="40" fontId="0" fillId="0" borderId="0" xfId="0" applyNumberFormat="1" applyFont="1" applyFill="1" applyAlignment="1">
      <alignment/>
    </xf>
    <xf numFmtId="0" fontId="0" fillId="0" borderId="0" xfId="147" applyFont="1">
      <alignment/>
      <protection/>
    </xf>
    <xf numFmtId="0" fontId="3" fillId="0" borderId="0" xfId="147" applyFont="1" applyFill="1">
      <alignment/>
      <protection/>
    </xf>
    <xf numFmtId="0" fontId="9" fillId="0" borderId="0" xfId="147" applyFont="1" applyFill="1" applyBorder="1" applyAlignment="1">
      <alignment horizontal="left"/>
      <protection/>
    </xf>
    <xf numFmtId="0" fontId="9" fillId="0" borderId="0" xfId="147" applyFont="1" applyFill="1" applyBorder="1">
      <alignment/>
      <protection/>
    </xf>
    <xf numFmtId="0" fontId="0" fillId="0" borderId="0" xfId="147" applyFont="1" applyAlignment="1">
      <alignment horizontal="left"/>
      <protection/>
    </xf>
    <xf numFmtId="0" fontId="4" fillId="0" borderId="0" xfId="14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47" applyNumberFormat="1" applyFont="1" applyFill="1" applyBorder="1">
      <alignment/>
      <protection/>
    </xf>
    <xf numFmtId="0" fontId="24" fillId="0" borderId="0" xfId="147" applyFont="1" applyFill="1" applyAlignment="1">
      <alignment horizontal="left"/>
      <protection/>
    </xf>
    <xf numFmtId="0" fontId="3" fillId="0" borderId="0" xfId="147" applyFont="1" applyFill="1">
      <alignment/>
      <protection/>
    </xf>
    <xf numFmtId="41" fontId="3" fillId="0" borderId="0" xfId="147" applyNumberFormat="1" applyFont="1" applyFill="1">
      <alignment/>
      <protection/>
    </xf>
    <xf numFmtId="41" fontId="3" fillId="0" borderId="0" xfId="147" applyNumberFormat="1" applyFont="1" applyFill="1" applyBorder="1" applyAlignment="1">
      <alignment vertical="top"/>
      <protection/>
    </xf>
    <xf numFmtId="181" fontId="3" fillId="0" borderId="0" xfId="147" applyNumberFormat="1" applyFont="1" applyFill="1">
      <alignment/>
      <protection/>
    </xf>
    <xf numFmtId="41" fontId="3" fillId="0" borderId="0" xfId="147" applyNumberFormat="1" applyFont="1" applyFill="1" applyBorder="1">
      <alignment/>
      <protection/>
    </xf>
    <xf numFmtId="0" fontId="3" fillId="0" borderId="0" xfId="147" applyFont="1" applyFill="1" applyAlignment="1">
      <alignment horizontal="left"/>
      <protection/>
    </xf>
    <xf numFmtId="0" fontId="25" fillId="0" borderId="0" xfId="147" applyFont="1" applyFill="1" applyBorder="1">
      <alignment/>
      <protection/>
    </xf>
    <xf numFmtId="0" fontId="3" fillId="0" borderId="0" xfId="147" applyFont="1" applyFill="1" applyAlignment="1">
      <alignment horizontal="center"/>
      <protection/>
    </xf>
    <xf numFmtId="0" fontId="10" fillId="0" borderId="0" xfId="147" applyFont="1" applyFill="1" applyAlignment="1">
      <alignment horizontal="center"/>
      <protection/>
    </xf>
    <xf numFmtId="173" fontId="3" fillId="0" borderId="0" xfId="147" applyNumberFormat="1" applyFont="1" applyFill="1">
      <alignment/>
      <protection/>
    </xf>
    <xf numFmtId="173" fontId="3" fillId="0" borderId="0" xfId="147" applyNumberFormat="1" applyFont="1" applyFill="1" applyBorder="1" applyAlignment="1">
      <alignment vertical="top"/>
      <protection/>
    </xf>
    <xf numFmtId="41" fontId="3" fillId="0" borderId="13" xfId="147" applyNumberFormat="1" applyFont="1" applyFill="1" applyBorder="1">
      <alignment/>
      <protection/>
    </xf>
    <xf numFmtId="173" fontId="4" fillId="0" borderId="0" xfId="73" applyNumberFormat="1" applyFont="1" applyFill="1" applyAlignment="1">
      <alignment horizontal="center"/>
    </xf>
    <xf numFmtId="0" fontId="3" fillId="0" borderId="0" xfId="147" applyFont="1" applyFill="1" applyAlignment="1">
      <alignment horizontal="center"/>
      <protection/>
    </xf>
    <xf numFmtId="0" fontId="26" fillId="0" borderId="0" xfId="147" applyFont="1" applyFill="1" applyBorder="1">
      <alignment/>
      <protection/>
    </xf>
    <xf numFmtId="0" fontId="10" fillId="0" borderId="0" xfId="147" applyFont="1" applyAlignment="1">
      <alignment horizontal="center"/>
      <protection/>
    </xf>
    <xf numFmtId="41" fontId="3" fillId="0" borderId="13" xfId="147" applyNumberFormat="1" applyFont="1" applyFill="1" applyBorder="1">
      <alignment/>
      <protection/>
    </xf>
    <xf numFmtId="38" fontId="0" fillId="0" borderId="0" xfId="0" applyNumberFormat="1" applyFont="1" applyFill="1" applyBorder="1" applyAlignment="1">
      <alignment/>
    </xf>
    <xf numFmtId="40" fontId="3" fillId="0" borderId="0" xfId="147"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47" applyNumberFormat="1" applyFont="1" applyFill="1">
      <alignment/>
      <protection/>
    </xf>
    <xf numFmtId="3" fontId="3" fillId="0" borderId="0" xfId="0" applyNumberFormat="1" applyFont="1" applyFill="1" applyAlignment="1">
      <alignment/>
    </xf>
    <xf numFmtId="41" fontId="18" fillId="20" borderId="0" xfId="147" applyNumberFormat="1" applyFont="1" applyFill="1" applyBorder="1">
      <alignment/>
      <protection/>
    </xf>
    <xf numFmtId="173" fontId="0" fillId="0" borderId="0" xfId="0" applyNumberFormat="1" applyBorder="1" applyAlignment="1">
      <alignment/>
    </xf>
    <xf numFmtId="0" fontId="7" fillId="0" borderId="0" xfId="134" applyFont="1" applyFill="1" applyBorder="1" applyAlignment="1">
      <alignment horizontal="left"/>
      <protection/>
    </xf>
    <xf numFmtId="0" fontId="0" fillId="0" borderId="0" xfId="134" applyNumberFormat="1" applyFont="1" applyFill="1" applyBorder="1" applyAlignment="1">
      <alignment/>
      <protection/>
    </xf>
    <xf numFmtId="0" fontId="0" fillId="0" borderId="0" xfId="134" applyFont="1" applyBorder="1" applyAlignment="1">
      <alignment/>
      <protection/>
    </xf>
    <xf numFmtId="0" fontId="0" fillId="0" borderId="0" xfId="134" applyFont="1" applyBorder="1" applyAlignment="1">
      <alignment horizontal="center"/>
      <protection/>
    </xf>
    <xf numFmtId="0" fontId="0" fillId="0" borderId="0" xfId="134" applyFont="1" applyBorder="1">
      <alignment/>
      <protection/>
    </xf>
    <xf numFmtId="0" fontId="0" fillId="0" borderId="0" xfId="134" applyNumberFormat="1" applyFont="1" applyFill="1" applyBorder="1" applyAlignment="1">
      <alignment horizontal="left"/>
      <protection/>
    </xf>
    <xf numFmtId="0" fontId="9" fillId="0" borderId="0" xfId="134" applyNumberFormat="1" applyFont="1" applyFill="1" applyBorder="1" applyAlignment="1">
      <alignment horizontal="left"/>
      <protection/>
    </xf>
    <xf numFmtId="3" fontId="8" fillId="0" borderId="0" xfId="134" applyNumberFormat="1" applyFont="1" applyFill="1" applyBorder="1" applyAlignment="1">
      <alignment horizontal="center"/>
      <protection/>
    </xf>
    <xf numFmtId="0" fontId="8" fillId="0" borderId="0" xfId="134" applyNumberFormat="1" applyFont="1" applyFill="1" applyBorder="1" applyAlignment="1">
      <alignment horizontal="center"/>
      <protection/>
    </xf>
    <xf numFmtId="0" fontId="0" fillId="0" borderId="0" xfId="134" applyFont="1" applyFill="1" applyBorder="1" applyAlignment="1">
      <alignment horizontal="center" wrapText="1"/>
      <protection/>
    </xf>
    <xf numFmtId="3" fontId="0" fillId="0" borderId="0" xfId="134" applyNumberFormat="1" applyFont="1" applyFill="1" applyBorder="1" applyAlignment="1">
      <alignment/>
      <protection/>
    </xf>
    <xf numFmtId="0" fontId="0" fillId="0" borderId="0" xfId="134" applyFont="1" applyFill="1" applyBorder="1" applyAlignment="1">
      <alignment/>
      <protection/>
    </xf>
    <xf numFmtId="0" fontId="16" fillId="0" borderId="0" xfId="134" applyNumberFormat="1" applyFont="1" applyFill="1" applyBorder="1" applyAlignment="1">
      <alignment horizontal="left"/>
      <protection/>
    </xf>
    <xf numFmtId="0" fontId="0" fillId="0" borderId="0" xfId="134"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4" applyFont="1" applyFill="1" applyBorder="1" applyAlignment="1">
      <alignment/>
      <protection/>
    </xf>
    <xf numFmtId="0" fontId="0" fillId="0" borderId="0" xfId="134" applyFont="1" applyFill="1" applyBorder="1">
      <alignment/>
      <protection/>
    </xf>
    <xf numFmtId="0" fontId="9" fillId="0" borderId="0" xfId="134" applyFont="1" applyBorder="1" applyAlignment="1">
      <alignment/>
      <protection/>
    </xf>
    <xf numFmtId="0" fontId="9" fillId="0" borderId="0" xfId="134" applyNumberFormat="1" applyFont="1" applyFill="1" applyBorder="1" applyAlignment="1">
      <alignment horizontal="center"/>
      <protection/>
    </xf>
    <xf numFmtId="164" fontId="0" fillId="0" borderId="0" xfId="159" applyNumberFormat="1" applyFont="1" applyFill="1" applyBorder="1" applyAlignment="1">
      <alignment/>
    </xf>
    <xf numFmtId="173" fontId="0" fillId="0" borderId="0" xfId="77" applyNumberFormat="1" applyFont="1" applyFill="1" applyBorder="1" applyAlignment="1">
      <alignment horizontal="left"/>
    </xf>
    <xf numFmtId="0" fontId="0" fillId="0" borderId="0" xfId="134" applyFont="1" applyFill="1" applyBorder="1" applyAlignment="1">
      <alignment horizontal="center"/>
      <protection/>
    </xf>
    <xf numFmtId="3" fontId="0" fillId="0" borderId="0" xfId="134" applyNumberFormat="1" applyFont="1" applyFill="1" applyBorder="1" applyAlignment="1">
      <alignment horizontal="right"/>
      <protection/>
    </xf>
    <xf numFmtId="3" fontId="0" fillId="0" borderId="0" xfId="134" applyNumberFormat="1" applyFont="1" applyFill="1" applyBorder="1" applyAlignment="1">
      <alignment horizontal="center"/>
      <protection/>
    </xf>
    <xf numFmtId="1" fontId="0" fillId="0" borderId="0" xfId="134"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147" applyFont="1" applyFill="1">
      <alignment/>
      <protection/>
    </xf>
    <xf numFmtId="0" fontId="9" fillId="0" borderId="0" xfId="134" applyFont="1" applyBorder="1" applyAlignment="1" quotePrefix="1">
      <alignment horizontal="center"/>
      <protection/>
    </xf>
    <xf numFmtId="0" fontId="9" fillId="0" borderId="0" xfId="134" applyFont="1" applyFill="1" applyBorder="1" applyAlignment="1" quotePrefix="1">
      <alignment horizontal="center"/>
      <protection/>
    </xf>
    <xf numFmtId="0" fontId="16" fillId="0" borderId="0" xfId="134" applyFont="1" applyBorder="1" applyAlignment="1">
      <alignment horizontal="center"/>
      <protection/>
    </xf>
    <xf numFmtId="0" fontId="20" fillId="0" borderId="0" xfId="134" applyFont="1" applyFill="1" applyBorder="1" applyAlignment="1">
      <alignment horizontal="center" wrapText="1"/>
      <protection/>
    </xf>
    <xf numFmtId="172" fontId="1" fillId="0" borderId="0" xfId="152" applyBorder="1" applyAlignment="1">
      <alignment/>
    </xf>
    <xf numFmtId="173" fontId="0" fillId="0" borderId="0" xfId="134" applyNumberFormat="1" applyFont="1" applyFill="1" applyBorder="1" applyAlignment="1">
      <alignment/>
      <protection/>
    </xf>
    <xf numFmtId="173" fontId="0" fillId="0" borderId="0" xfId="134" applyNumberFormat="1" applyFont="1" applyFill="1" applyBorder="1" applyAlignment="1">
      <alignment horizontal="right"/>
      <protection/>
    </xf>
    <xf numFmtId="0" fontId="16" fillId="0" borderId="0" xfId="134" applyFont="1" applyFill="1" applyBorder="1" applyAlignment="1">
      <alignment horizontal="left"/>
      <protection/>
    </xf>
    <xf numFmtId="0" fontId="9" fillId="0" borderId="0" xfId="134" applyFont="1" applyFill="1" applyBorder="1" applyAlignment="1">
      <alignment horizontal="left"/>
      <protection/>
    </xf>
    <xf numFmtId="0" fontId="9" fillId="0" borderId="0" xfId="134" applyFont="1" applyFill="1" applyBorder="1" applyAlignment="1">
      <alignment horizontal="center"/>
      <protection/>
    </xf>
    <xf numFmtId="173" fontId="0" fillId="0" borderId="14" xfId="77" applyNumberFormat="1" applyFont="1" applyFill="1" applyBorder="1" applyAlignment="1">
      <alignment horizontal="right"/>
    </xf>
    <xf numFmtId="0" fontId="9" fillId="0" borderId="0" xfId="134" applyFont="1" applyBorder="1" applyAlignment="1">
      <alignment horizontal="center"/>
      <protection/>
    </xf>
    <xf numFmtId="0" fontId="0" fillId="0" borderId="0" xfId="147" applyFont="1" applyAlignment="1">
      <alignment horizontal="center"/>
      <protection/>
    </xf>
    <xf numFmtId="0" fontId="9" fillId="0" borderId="0" xfId="0" applyFont="1" applyFill="1" applyAlignment="1">
      <alignment horizontal="center"/>
    </xf>
    <xf numFmtId="0" fontId="3" fillId="0" borderId="0" xfId="134" applyFont="1" applyBorder="1" applyAlignment="1">
      <alignment horizontal="center"/>
      <protection/>
    </xf>
    <xf numFmtId="49" fontId="3" fillId="0" borderId="0" xfId="147" applyNumberFormat="1" applyFont="1" applyAlignment="1">
      <alignment horizontal="center"/>
      <protection/>
    </xf>
    <xf numFmtId="0" fontId="0" fillId="0" borderId="0" xfId="0" applyAlignment="1">
      <alignment horizontal="right"/>
    </xf>
    <xf numFmtId="173" fontId="0" fillId="0" borderId="13" xfId="0" applyNumberFormat="1" applyBorder="1" applyAlignment="1">
      <alignment/>
    </xf>
    <xf numFmtId="0" fontId="9" fillId="0" borderId="0" xfId="134" applyFont="1" applyBorder="1">
      <alignment/>
      <protection/>
    </xf>
    <xf numFmtId="172" fontId="1" fillId="0" borderId="0" xfId="152" applyFill="1" applyBorder="1" applyAlignment="1">
      <alignment/>
    </xf>
    <xf numFmtId="3" fontId="10" fillId="0" borderId="0" xfId="0" applyNumberFormat="1" applyFont="1" applyFill="1" applyAlignment="1">
      <alignment horizontal="center"/>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86" fontId="17" fillId="0" borderId="0" xfId="151" applyNumberFormat="1" applyFont="1">
      <alignment/>
      <protection/>
    </xf>
    <xf numFmtId="0" fontId="66" fillId="0" borderId="0" xfId="151" applyFont="1">
      <alignment/>
      <protection/>
    </xf>
    <xf numFmtId="186" fontId="17" fillId="0" borderId="0" xfId="151" applyNumberFormat="1" applyFont="1" applyAlignment="1">
      <alignment horizontal="center"/>
      <protection/>
    </xf>
    <xf numFmtId="0" fontId="0" fillId="0" borderId="0" xfId="151" applyFont="1">
      <alignment/>
      <protection/>
    </xf>
    <xf numFmtId="0" fontId="17" fillId="0" borderId="0" xfId="151" applyFont="1">
      <alignment/>
      <protection/>
    </xf>
    <xf numFmtId="0" fontId="17" fillId="0" borderId="0" xfId="151" applyNumberFormat="1" applyFont="1" applyAlignment="1">
      <alignment horizontal="center"/>
      <protection/>
    </xf>
    <xf numFmtId="0" fontId="17" fillId="0" borderId="0" xfId="151" applyNumberFormat="1" applyFont="1">
      <alignment/>
      <protection/>
    </xf>
    <xf numFmtId="0" fontId="17" fillId="0" borderId="0" xfId="151" applyNumberFormat="1" applyFont="1" applyBorder="1" applyAlignment="1">
      <alignment horizontal="center"/>
      <protection/>
    </xf>
    <xf numFmtId="186" fontId="67" fillId="0" borderId="0" xfId="151" applyNumberFormat="1" applyFont="1">
      <alignment/>
      <protection/>
    </xf>
    <xf numFmtId="0" fontId="68" fillId="0" borderId="0" xfId="151" applyFont="1">
      <alignment/>
      <protection/>
    </xf>
    <xf numFmtId="173" fontId="66" fillId="0" borderId="0" xfId="151" applyNumberFormat="1" applyFont="1">
      <alignment/>
      <protection/>
    </xf>
    <xf numFmtId="0" fontId="69" fillId="0" borderId="0" xfId="151" applyFont="1">
      <alignment/>
      <protection/>
    </xf>
    <xf numFmtId="186" fontId="0" fillId="0" borderId="0" xfId="151" applyNumberFormat="1" applyFont="1">
      <alignment/>
      <protection/>
    </xf>
    <xf numFmtId="0" fontId="17" fillId="0" borderId="0" xfId="149" applyFont="1" applyFill="1" applyAlignment="1">
      <alignment horizontal="center"/>
      <protection/>
    </xf>
    <xf numFmtId="0" fontId="17" fillId="0" borderId="0" xfId="149" applyFont="1" applyFill="1" applyAlignment="1">
      <alignment horizontal="left" indent="2"/>
      <protection/>
    </xf>
    <xf numFmtId="39" fontId="17" fillId="0" borderId="0" xfId="149" applyNumberFormat="1" applyFont="1" applyFill="1">
      <alignment/>
      <protection/>
    </xf>
    <xf numFmtId="0" fontId="66" fillId="0" borderId="0" xfId="151" applyFont="1" applyFill="1">
      <alignment/>
      <protection/>
    </xf>
    <xf numFmtId="0" fontId="0" fillId="0" borderId="0" xfId="151" applyNumberFormat="1" applyFont="1" applyAlignment="1">
      <alignment horizontal="center"/>
      <protection/>
    </xf>
    <xf numFmtId="0" fontId="0" fillId="0" borderId="0" xfId="151" applyNumberFormat="1" applyFont="1">
      <alignment/>
      <protection/>
    </xf>
    <xf numFmtId="43" fontId="66" fillId="0" borderId="0" xfId="73" applyFont="1" applyAlignment="1">
      <alignment/>
    </xf>
    <xf numFmtId="173" fontId="70" fillId="0" borderId="0" xfId="151" applyNumberFormat="1" applyFont="1">
      <alignment/>
      <protection/>
    </xf>
    <xf numFmtId="186" fontId="3" fillId="0" borderId="0" xfId="151"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51" applyNumberFormat="1" applyFont="1" applyBorder="1">
      <alignment/>
      <protection/>
    </xf>
    <xf numFmtId="10" fontId="3" fillId="0" borderId="14" xfId="0" applyNumberFormat="1" applyFont="1" applyFill="1" applyBorder="1" applyAlignment="1">
      <alignment/>
    </xf>
    <xf numFmtId="0" fontId="73" fillId="0" borderId="0" xfId="151" applyFont="1" applyAlignment="1">
      <alignment horizontal="center"/>
      <protection/>
    </xf>
    <xf numFmtId="49" fontId="3" fillId="0" borderId="0" xfId="134"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4"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41" fontId="0" fillId="0" borderId="0" xfId="147" applyNumberFormat="1" applyFont="1">
      <alignment/>
      <protection/>
    </xf>
    <xf numFmtId="173" fontId="0" fillId="0" borderId="0" xfId="73" applyNumberFormat="1" applyFont="1" applyFill="1" applyAlignment="1">
      <alignment/>
    </xf>
    <xf numFmtId="0" fontId="9" fillId="0" borderId="0" xfId="147" applyFont="1" applyAlignment="1">
      <alignment horizontal="center" wrapText="1"/>
      <protection/>
    </xf>
    <xf numFmtId="38" fontId="0" fillId="0" borderId="0" xfId="0" applyNumberFormat="1" applyFont="1" applyFill="1" applyBorder="1" applyAlignment="1">
      <alignment horizontal="center"/>
    </xf>
    <xf numFmtId="0" fontId="0" fillId="0" borderId="0" xfId="147" applyFill="1" applyAlignment="1">
      <alignment horizontal="left"/>
      <protection/>
    </xf>
    <xf numFmtId="0" fontId="74" fillId="0" borderId="0" xfId="147" applyFont="1" applyFill="1" applyBorder="1" applyAlignment="1">
      <alignment horizontal="left"/>
      <protection/>
    </xf>
    <xf numFmtId="0" fontId="0" fillId="0" borderId="0" xfId="147" applyFill="1">
      <alignment/>
      <protection/>
    </xf>
    <xf numFmtId="0" fontId="74" fillId="0" borderId="0" xfId="147" applyFont="1" applyFill="1" applyBorder="1">
      <alignment/>
      <protection/>
    </xf>
    <xf numFmtId="0" fontId="64" fillId="0" borderId="0" xfId="147"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4" applyNumberFormat="1" applyFont="1" applyFill="1" applyBorder="1" applyAlignment="1">
      <alignment horizontal="left"/>
      <protection/>
    </xf>
    <xf numFmtId="38" fontId="0" fillId="0" borderId="0" xfId="134" applyNumberFormat="1" applyFont="1" applyFill="1" applyBorder="1" applyAlignment="1">
      <alignment horizontal="right"/>
      <protection/>
    </xf>
    <xf numFmtId="0" fontId="0" fillId="0" borderId="0" xfId="13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4" applyFont="1" applyBorder="1" applyAlignment="1">
      <alignment horizontal="center"/>
      <protection/>
    </xf>
    <xf numFmtId="38" fontId="8" fillId="0" borderId="0" xfId="134" applyNumberFormat="1" applyFont="1" applyFill="1" applyBorder="1" applyAlignment="1">
      <alignment/>
      <protection/>
    </xf>
    <xf numFmtId="173" fontId="8" fillId="0" borderId="14" xfId="73" applyNumberFormat="1" applyFont="1" applyFill="1" applyBorder="1" applyAlignment="1">
      <alignment/>
    </xf>
    <xf numFmtId="0" fontId="0" fillId="0" borderId="14" xfId="134" applyNumberFormat="1" applyFont="1" applyFill="1" applyBorder="1" applyAlignment="1">
      <alignment horizontal="left"/>
      <protection/>
    </xf>
    <xf numFmtId="0" fontId="17" fillId="0" borderId="0" xfId="151" applyNumberFormat="1" applyFont="1" applyFill="1" applyAlignment="1">
      <alignment horizontal="center"/>
      <protection/>
    </xf>
    <xf numFmtId="0" fontId="0" fillId="0" borderId="0" xfId="151" applyNumberFormat="1" applyFont="1" applyFill="1">
      <alignment/>
      <protection/>
    </xf>
    <xf numFmtId="41" fontId="66" fillId="0" borderId="0" xfId="151" applyNumberFormat="1" applyFont="1" applyFill="1">
      <alignment/>
      <protection/>
    </xf>
    <xf numFmtId="41" fontId="66" fillId="0" borderId="0" xfId="151" applyNumberFormat="1" applyFont="1" applyFill="1" applyBorder="1">
      <alignment/>
      <protection/>
    </xf>
    <xf numFmtId="173" fontId="66" fillId="0" borderId="0" xfId="151" applyNumberFormat="1" applyFont="1" applyFill="1">
      <alignment/>
      <protection/>
    </xf>
    <xf numFmtId="10" fontId="66" fillId="0" borderId="11" xfId="157"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57"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0" fillId="0" borderId="0" xfId="85"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47" applyFont="1">
      <alignment/>
      <protection/>
    </xf>
    <xf numFmtId="0" fontId="0" fillId="0" borderId="0" xfId="147">
      <alignment/>
      <protection/>
    </xf>
    <xf numFmtId="0" fontId="14" fillId="0" borderId="0" xfId="147" applyFont="1" applyAlignment="1">
      <alignment horizontal="left"/>
      <protection/>
    </xf>
    <xf numFmtId="0" fontId="9" fillId="0" borderId="0" xfId="0" applyFont="1" applyBorder="1" applyAlignment="1">
      <alignment/>
    </xf>
    <xf numFmtId="173" fontId="0" fillId="0" borderId="0" xfId="134" applyNumberFormat="1" applyFont="1" applyFill="1" applyBorder="1">
      <alignment/>
      <protection/>
    </xf>
    <xf numFmtId="0" fontId="0" fillId="20" borderId="0" xfId="134" applyNumberFormat="1" applyFont="1" applyFill="1" applyBorder="1" applyAlignment="1">
      <alignment horizontal="center"/>
      <protection/>
    </xf>
    <xf numFmtId="0" fontId="9" fillId="20" borderId="0" xfId="134" applyNumberFormat="1" applyFont="1" applyFill="1" applyBorder="1" applyAlignment="1">
      <alignment horizontal="left"/>
      <protection/>
    </xf>
    <xf numFmtId="0" fontId="8" fillId="20" borderId="0" xfId="134" applyFont="1" applyFill="1" applyBorder="1" applyAlignment="1">
      <alignment/>
      <protection/>
    </xf>
    <xf numFmtId="0" fontId="0" fillId="20" borderId="0" xfId="134" applyNumberFormat="1" applyFont="1" applyFill="1" applyBorder="1" applyAlignment="1">
      <alignment horizontal="left"/>
      <protection/>
    </xf>
    <xf numFmtId="0" fontId="0" fillId="20" borderId="0" xfId="134"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59" applyNumberFormat="1" applyFont="1" applyFill="1" applyBorder="1" applyAlignment="1">
      <alignment/>
    </xf>
    <xf numFmtId="173" fontId="0" fillId="20" borderId="0" xfId="77" applyNumberFormat="1" applyFont="1" applyFill="1" applyBorder="1" applyAlignment="1">
      <alignment horizontal="left"/>
    </xf>
    <xf numFmtId="174" fontId="0" fillId="0" borderId="0" xfId="85" applyNumberFormat="1" applyFont="1" applyFill="1" applyAlignment="1">
      <alignment/>
    </xf>
    <xf numFmtId="49" fontId="3" fillId="0" borderId="0" xfId="134" applyNumberFormat="1" applyFont="1" applyBorder="1" applyAlignment="1">
      <alignment horizontal="left"/>
      <protection/>
    </xf>
    <xf numFmtId="38" fontId="0" fillId="0" borderId="0" xfId="0" applyNumberFormat="1" applyAlignment="1">
      <alignment/>
    </xf>
    <xf numFmtId="0" fontId="14" fillId="0" borderId="0" xfId="147" applyFont="1" applyAlignment="1">
      <alignment/>
      <protection/>
    </xf>
    <xf numFmtId="0" fontId="12" fillId="0" borderId="0" xfId="0" applyFont="1" applyBorder="1" applyAlignment="1">
      <alignment/>
    </xf>
    <xf numFmtId="0" fontId="16" fillId="0" borderId="0" xfId="134" applyFont="1" applyFill="1" applyBorder="1" applyAlignment="1">
      <alignment horizontal="center"/>
      <protection/>
    </xf>
    <xf numFmtId="0" fontId="12" fillId="0" borderId="0" xfId="134" applyNumberFormat="1" applyFont="1" applyFill="1" applyBorder="1" applyAlignment="1">
      <alignment horizontal="left"/>
      <protection/>
    </xf>
    <xf numFmtId="173" fontId="12" fillId="0" borderId="0" xfId="77" applyNumberFormat="1" applyFont="1" applyFill="1" applyBorder="1" applyAlignment="1">
      <alignment horizontal="right"/>
    </xf>
    <xf numFmtId="0" fontId="13" fillId="0" borderId="0" xfId="147" applyFont="1" applyFill="1">
      <alignment/>
      <protection/>
    </xf>
    <xf numFmtId="0" fontId="77" fillId="0" borderId="0" xfId="147" applyFont="1" applyFill="1">
      <alignment/>
      <protection/>
    </xf>
    <xf numFmtId="9" fontId="10" fillId="0" borderId="0" xfId="147" applyNumberFormat="1" applyFont="1" applyFill="1" applyAlignment="1" quotePrefix="1">
      <alignment horizontal="center"/>
      <protection/>
    </xf>
    <xf numFmtId="0" fontId="2" fillId="0" borderId="0" xfId="151" applyNumberFormat="1" applyFont="1" applyAlignment="1">
      <alignment horizontal="center"/>
      <protection/>
    </xf>
    <xf numFmtId="0" fontId="2" fillId="0" borderId="0" xfId="151" applyNumberFormat="1" applyFont="1">
      <alignment/>
      <protection/>
    </xf>
    <xf numFmtId="186" fontId="2" fillId="0" borderId="0" xfId="151" applyNumberFormat="1" applyFont="1" applyAlignment="1">
      <alignment horizontal="center"/>
      <protection/>
    </xf>
    <xf numFmtId="0" fontId="9" fillId="0" borderId="0" xfId="151" applyFont="1">
      <alignment/>
      <protection/>
    </xf>
    <xf numFmtId="0" fontId="2" fillId="0" borderId="11" xfId="151" applyNumberFormat="1" applyFont="1" applyBorder="1" applyAlignment="1">
      <alignment horizontal="center"/>
      <protection/>
    </xf>
    <xf numFmtId="186" fontId="2" fillId="0" borderId="11" xfId="151" applyNumberFormat="1" applyFont="1" applyBorder="1" applyAlignment="1">
      <alignment horizontal="center"/>
      <protection/>
    </xf>
    <xf numFmtId="0" fontId="69" fillId="0" borderId="11" xfId="151" applyFont="1" applyBorder="1" applyAlignment="1">
      <alignment horizontal="center"/>
      <protection/>
    </xf>
    <xf numFmtId="0" fontId="9" fillId="0" borderId="0" xfId="151" applyFont="1" applyAlignment="1">
      <alignment horizontal="center"/>
      <protection/>
    </xf>
    <xf numFmtId="0" fontId="78" fillId="0" borderId="0" xfId="151" applyFont="1" applyFill="1">
      <alignment/>
      <protection/>
    </xf>
    <xf numFmtId="173" fontId="0" fillId="0" borderId="0" xfId="73" applyNumberFormat="1" applyFont="1" applyFill="1" applyAlignment="1">
      <alignment/>
    </xf>
    <xf numFmtId="10" fontId="14" fillId="0" borderId="0" xfId="157" applyNumberFormat="1" applyFont="1" applyFill="1" applyAlignment="1">
      <alignment/>
    </xf>
    <xf numFmtId="41" fontId="0" fillId="0" borderId="0" xfId="147" applyNumberFormat="1" applyFill="1" applyBorder="1">
      <alignment/>
      <protection/>
    </xf>
    <xf numFmtId="0" fontId="16" fillId="0" borderId="0" xfId="147" applyFont="1" applyFill="1" applyAlignment="1">
      <alignment horizontal="left"/>
      <protection/>
    </xf>
    <xf numFmtId="0" fontId="0" fillId="0" borderId="0" xfId="147" applyFont="1" applyFill="1">
      <alignment/>
      <protection/>
    </xf>
    <xf numFmtId="173" fontId="0" fillId="0" borderId="0" xfId="134"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73" applyNumberFormat="1" applyFont="1" applyFill="1" applyAlignment="1">
      <alignment/>
    </xf>
    <xf numFmtId="173" fontId="66" fillId="0" borderId="0" xfId="73" applyNumberFormat="1" applyFont="1" applyFill="1" applyBorder="1" applyAlignment="1">
      <alignment/>
    </xf>
    <xf numFmtId="41" fontId="81" fillId="25" borderId="0" xfId="151" applyNumberFormat="1" applyFont="1" applyFill="1">
      <alignment/>
      <protection/>
    </xf>
    <xf numFmtId="41" fontId="81" fillId="25" borderId="0" xfId="151" applyNumberFormat="1" applyFont="1" applyFill="1" applyBorder="1">
      <alignment/>
      <protection/>
    </xf>
    <xf numFmtId="173" fontId="66" fillId="0" borderId="13" xfId="73" applyNumberFormat="1" applyFont="1" applyFill="1" applyBorder="1" applyAlignment="1">
      <alignment/>
    </xf>
    <xf numFmtId="10" fontId="66" fillId="0" borderId="0" xfId="157" applyNumberFormat="1" applyFont="1" applyFill="1" applyAlignment="1">
      <alignment/>
    </xf>
    <xf numFmtId="173" fontId="66" fillId="0" borderId="14" xfId="73" applyNumberFormat="1" applyFont="1" applyFill="1" applyBorder="1" applyAlignment="1">
      <alignment/>
    </xf>
    <xf numFmtId="10" fontId="66" fillId="0" borderId="0" xfId="157" applyNumberFormat="1" applyFont="1" applyFill="1" applyBorder="1" applyAlignment="1">
      <alignment/>
    </xf>
    <xf numFmtId="41" fontId="66" fillId="0" borderId="16" xfId="151" applyNumberFormat="1" applyFont="1" applyFill="1" applyBorder="1">
      <alignment/>
      <protection/>
    </xf>
    <xf numFmtId="0" fontId="85" fillId="0" borderId="0" xfId="0" applyFont="1" applyBorder="1" applyAlignment="1">
      <alignment horizontal="center"/>
    </xf>
    <xf numFmtId="0" fontId="84" fillId="0" borderId="0" xfId="147" applyFont="1" applyFill="1" applyAlignment="1">
      <alignment horizontal="center"/>
      <protection/>
    </xf>
    <xf numFmtId="173" fontId="0" fillId="0" borderId="0" xfId="151" applyNumberFormat="1" applyFont="1">
      <alignment/>
      <protection/>
    </xf>
    <xf numFmtId="164" fontId="66" fillId="0" borderId="0" xfId="157" applyNumberFormat="1" applyFont="1" applyFill="1" applyAlignment="1">
      <alignment/>
    </xf>
    <xf numFmtId="0" fontId="3" fillId="0" borderId="0" xfId="151" applyFont="1">
      <alignment/>
      <protection/>
    </xf>
    <xf numFmtId="173" fontId="3" fillId="0" borderId="0" xfId="151" applyNumberFormat="1" applyFont="1">
      <alignment/>
      <protection/>
    </xf>
    <xf numFmtId="41" fontId="0" fillId="0" borderId="0" xfId="0" applyNumberFormat="1" applyAlignment="1">
      <alignment/>
    </xf>
    <xf numFmtId="164" fontId="0" fillId="0" borderId="0" xfId="157" applyNumberFormat="1" applyFont="1" applyAlignment="1">
      <alignment/>
    </xf>
    <xf numFmtId="173" fontId="87" fillId="0" borderId="0" xfId="151" applyNumberFormat="1" applyFont="1" applyFill="1" applyBorder="1">
      <alignment/>
      <protection/>
    </xf>
    <xf numFmtId="41" fontId="8" fillId="0" borderId="0" xfId="147" applyNumberFormat="1" applyFont="1" applyFill="1" applyBorder="1">
      <alignment/>
      <protection/>
    </xf>
    <xf numFmtId="0" fontId="21" fillId="0" borderId="0" xfId="147" applyFont="1" applyFill="1" applyAlignment="1">
      <alignment horizontal="center"/>
      <protection/>
    </xf>
    <xf numFmtId="37" fontId="0" fillId="0" borderId="15" xfId="0" applyNumberFormat="1" applyFont="1" applyFill="1" applyBorder="1" applyAlignment="1">
      <alignment/>
    </xf>
    <xf numFmtId="37" fontId="0" fillId="0" borderId="0" xfId="134" applyNumberFormat="1" applyFont="1" applyFill="1" applyBorder="1" applyAlignment="1">
      <alignment horizontal="right"/>
      <protection/>
    </xf>
    <xf numFmtId="37" fontId="8" fillId="0" borderId="0" xfId="134" applyNumberFormat="1" applyFont="1" applyFill="1" applyBorder="1" applyAlignment="1">
      <alignment/>
      <protection/>
    </xf>
    <xf numFmtId="0" fontId="90" fillId="0" borderId="0" xfId="147" applyFont="1" applyFill="1" applyBorder="1">
      <alignment/>
      <protection/>
    </xf>
    <xf numFmtId="0" fontId="4" fillId="0" borderId="0" xfId="14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157" applyFont="1" applyAlignment="1">
      <alignment/>
    </xf>
    <xf numFmtId="0" fontId="9" fillId="0" borderId="0" xfId="0" applyFont="1" applyAlignment="1">
      <alignment horizontal="center" wrapText="1"/>
    </xf>
    <xf numFmtId="0" fontId="17" fillId="0" borderId="0" xfId="149" applyFont="1" applyFill="1" applyAlignment="1">
      <alignment horizontal="center"/>
      <protection/>
    </xf>
    <xf numFmtId="0" fontId="0" fillId="0" borderId="0" xfId="147" applyFont="1" applyFill="1" applyAlignment="1">
      <alignment horizontal="left"/>
      <protection/>
    </xf>
    <xf numFmtId="0" fontId="0" fillId="0" borderId="0" xfId="147" applyFont="1" applyFill="1">
      <alignment/>
      <protection/>
    </xf>
    <xf numFmtId="0" fontId="93" fillId="0" borderId="0" xfId="147" applyFont="1" applyFill="1" applyAlignment="1">
      <alignment horizontal="center"/>
      <protection/>
    </xf>
    <xf numFmtId="0" fontId="94" fillId="0" borderId="0" xfId="147" applyFont="1" applyFill="1" applyBorder="1">
      <alignment/>
      <protection/>
    </xf>
    <xf numFmtId="193" fontId="95" fillId="0" borderId="0" xfId="134" applyNumberFormat="1" applyFont="1" applyFill="1" applyBorder="1" applyAlignment="1">
      <alignment horizontal="center"/>
      <protection/>
    </xf>
    <xf numFmtId="14" fontId="95" fillId="0" borderId="0" xfId="134"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4" applyNumberFormat="1" applyFont="1" applyBorder="1" applyAlignment="1">
      <alignment horizontal="center"/>
      <protection/>
    </xf>
    <xf numFmtId="0" fontId="96" fillId="0" borderId="0" xfId="151" applyFont="1" applyFill="1">
      <alignment/>
      <protection/>
    </xf>
    <xf numFmtId="41" fontId="96" fillId="0" borderId="0" xfId="151" applyNumberFormat="1" applyFont="1" applyFill="1">
      <alignment/>
      <protection/>
    </xf>
    <xf numFmtId="41" fontId="96" fillId="0" borderId="0" xfId="151"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3"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4" applyFont="1" applyBorder="1" applyAlignment="1">
      <alignment horizontal="left"/>
      <protection/>
    </xf>
    <xf numFmtId="0" fontId="3" fillId="0" borderId="0" xfId="134"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57"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47" applyFont="1" applyFill="1" applyBorder="1" applyAlignment="1">
      <alignment horizontal="center"/>
      <protection/>
    </xf>
    <xf numFmtId="0" fontId="3" fillId="0" borderId="0" xfId="0" applyFont="1" applyBorder="1" applyAlignment="1">
      <alignment horizontal="center"/>
    </xf>
    <xf numFmtId="0" fontId="2" fillId="0" borderId="0" xfId="151" applyNumberFormat="1" applyFont="1" applyBorder="1" applyAlignment="1">
      <alignment horizontal="center"/>
      <protection/>
    </xf>
    <xf numFmtId="0" fontId="0" fillId="0" borderId="0" xfId="151" applyFont="1" applyBorder="1">
      <alignment/>
      <protection/>
    </xf>
    <xf numFmtId="0" fontId="2" fillId="0" borderId="11" xfId="151" applyNumberFormat="1" applyFont="1" applyBorder="1">
      <alignment/>
      <protection/>
    </xf>
    <xf numFmtId="186" fontId="2" fillId="0" borderId="0" xfId="151" applyNumberFormat="1" applyFont="1" applyBorder="1" applyAlignment="1">
      <alignment horizontal="center"/>
      <protection/>
    </xf>
    <xf numFmtId="0" fontId="0" fillId="0" borderId="0" xfId="151" applyFont="1" applyFill="1">
      <alignment/>
      <protection/>
    </xf>
    <xf numFmtId="0" fontId="66" fillId="0" borderId="0" xfId="151" applyFont="1" applyAlignment="1">
      <alignment horizontal="center"/>
      <protection/>
    </xf>
    <xf numFmtId="173" fontId="72" fillId="0" borderId="0" xfId="151" applyNumberFormat="1" applyFont="1" applyFill="1" applyBorder="1">
      <alignment/>
      <protection/>
    </xf>
    <xf numFmtId="0" fontId="17" fillId="0" borderId="0" xfId="151" applyFont="1" applyFill="1">
      <alignment/>
      <protection/>
    </xf>
    <xf numFmtId="3" fontId="72" fillId="0" borderId="0" xfId="151" applyNumberFormat="1" applyFont="1" applyFill="1" applyBorder="1">
      <alignment/>
      <protection/>
    </xf>
    <xf numFmtId="173" fontId="72" fillId="0" borderId="0" xfId="151" applyNumberFormat="1" applyFont="1" applyFill="1">
      <alignment/>
      <protection/>
    </xf>
    <xf numFmtId="0" fontId="0" fillId="0" borderId="0" xfId="0" applyBorder="1" applyAlignment="1">
      <alignment horizontal="center"/>
    </xf>
    <xf numFmtId="0" fontId="66" fillId="0" borderId="0" xfId="151" applyFont="1" applyFill="1" applyBorder="1">
      <alignment/>
      <protection/>
    </xf>
    <xf numFmtId="173" fontId="66" fillId="0" borderId="0" xfId="151" applyNumberFormat="1" applyFont="1" applyFill="1" applyBorder="1">
      <alignment/>
      <protection/>
    </xf>
    <xf numFmtId="0" fontId="20" fillId="0" borderId="0" xfId="147" applyFont="1" applyFill="1" applyBorder="1">
      <alignment/>
      <protection/>
    </xf>
    <xf numFmtId="38" fontId="3" fillId="0" borderId="13" xfId="147" applyNumberFormat="1" applyFont="1" applyFill="1" applyBorder="1" applyAlignment="1">
      <alignment horizontal="right"/>
      <protection/>
    </xf>
    <xf numFmtId="0" fontId="0" fillId="0" borderId="0" xfId="147" applyFont="1" applyAlignment="1">
      <alignment horizontal="center"/>
      <protection/>
    </xf>
    <xf numFmtId="0" fontId="17" fillId="0" borderId="0" xfId="151" applyNumberFormat="1" applyFont="1" applyFill="1">
      <alignment/>
      <protection/>
    </xf>
    <xf numFmtId="0" fontId="21" fillId="0" borderId="0" xfId="134" applyFont="1" applyBorder="1" applyAlignment="1">
      <alignment/>
      <protection/>
    </xf>
    <xf numFmtId="3" fontId="3" fillId="0" borderId="0" xfId="0" applyNumberFormat="1" applyFont="1" applyAlignment="1">
      <alignment/>
    </xf>
    <xf numFmtId="10" fontId="1" fillId="0" borderId="0" xfId="153" applyNumberFormat="1" applyProtection="1">
      <alignment/>
      <protection/>
    </xf>
    <xf numFmtId="10" fontId="1" fillId="0" borderId="17" xfId="153" applyNumberFormat="1" applyBorder="1" applyProtection="1">
      <alignment/>
      <protection/>
    </xf>
    <xf numFmtId="202" fontId="1" fillId="0" borderId="0" xfId="153" applyNumberFormat="1" applyProtection="1">
      <alignment/>
      <protection/>
    </xf>
    <xf numFmtId="10" fontId="107" fillId="0" borderId="0" xfId="153" applyNumberFormat="1" applyFont="1" applyProtection="1">
      <alignment/>
      <protection/>
    </xf>
    <xf numFmtId="173" fontId="109" fillId="0" borderId="0" xfId="0" applyNumberFormat="1" applyFont="1" applyAlignment="1">
      <alignment/>
    </xf>
    <xf numFmtId="0" fontId="0" fillId="0" borderId="0" xfId="0" applyFill="1" applyBorder="1" applyAlignment="1">
      <alignment/>
    </xf>
    <xf numFmtId="0" fontId="9" fillId="0" borderId="0" xfId="134" applyNumberFormat="1" applyFont="1" applyFill="1" applyBorder="1" applyAlignment="1">
      <alignment horizontal="left"/>
      <protection/>
    </xf>
    <xf numFmtId="3" fontId="0" fillId="0" borderId="0" xfId="134" applyNumberFormat="1" applyFont="1" applyFill="1" applyBorder="1" applyAlignment="1">
      <alignment/>
      <protection/>
    </xf>
    <xf numFmtId="0" fontId="0" fillId="0" borderId="0" xfId="134" applyFont="1" applyFill="1" applyBorder="1" applyAlignment="1">
      <alignment horizontal="center"/>
      <protection/>
    </xf>
    <xf numFmtId="0" fontId="0" fillId="0" borderId="0" xfId="134" applyNumberFormat="1" applyFont="1" applyFill="1" applyBorder="1" applyAlignment="1">
      <alignment horizontal="center"/>
      <protection/>
    </xf>
    <xf numFmtId="0" fontId="9" fillId="0" borderId="0" xfId="134" applyFont="1" applyFill="1" applyBorder="1" applyAlignment="1">
      <alignment horizontal="left"/>
      <protection/>
    </xf>
    <xf numFmtId="0" fontId="0" fillId="0" borderId="0" xfId="134" applyFont="1" applyFill="1" applyBorder="1" applyAlignment="1">
      <alignment/>
      <protection/>
    </xf>
    <xf numFmtId="0" fontId="0" fillId="0" borderId="0" xfId="134" applyFont="1" applyBorder="1">
      <alignment/>
      <protection/>
    </xf>
    <xf numFmtId="0" fontId="0" fillId="0" borderId="0" xfId="134" applyNumberFormat="1" applyFont="1" applyFill="1" applyBorder="1" applyAlignment="1">
      <alignment horizontal="center"/>
      <protection/>
    </xf>
    <xf numFmtId="0" fontId="0" fillId="0" borderId="0" xfId="134" applyNumberFormat="1" applyFont="1" applyFill="1" applyBorder="1" applyAlignment="1">
      <alignment horizontal="left"/>
      <protection/>
    </xf>
    <xf numFmtId="0" fontId="0" fillId="0" borderId="0" xfId="134" applyFont="1" applyFill="1" applyBorder="1" applyAlignment="1">
      <alignment/>
      <protection/>
    </xf>
    <xf numFmtId="0" fontId="0" fillId="0" borderId="0" xfId="134" applyFont="1" applyFill="1" applyBorder="1" applyAlignment="1">
      <alignment horizontal="center"/>
      <protection/>
    </xf>
    <xf numFmtId="0" fontId="0" fillId="0" borderId="0" xfId="134" applyNumberFormat="1" applyFont="1" applyFill="1" applyBorder="1" applyAlignment="1">
      <alignment/>
      <protection/>
    </xf>
    <xf numFmtId="0" fontId="0" fillId="0" borderId="0" xfId="134" applyFont="1" applyBorder="1">
      <alignment/>
      <protection/>
    </xf>
    <xf numFmtId="0" fontId="0" fillId="0" borderId="0" xfId="134" applyFont="1" applyFill="1" applyBorder="1">
      <alignment/>
      <protection/>
    </xf>
    <xf numFmtId="3" fontId="0" fillId="0" borderId="0" xfId="134" applyNumberFormat="1" applyFont="1" applyFill="1" applyBorder="1" applyAlignment="1">
      <alignment/>
      <protection/>
    </xf>
    <xf numFmtId="0" fontId="0" fillId="0" borderId="0" xfId="134" applyFont="1" applyFill="1" applyBorder="1">
      <alignment/>
      <protection/>
    </xf>
    <xf numFmtId="0" fontId="0" fillId="0" borderId="0" xfId="134" applyNumberFormat="1" applyFont="1" applyFill="1" applyBorder="1" applyAlignment="1">
      <alignment/>
      <protection/>
    </xf>
    <xf numFmtId="0" fontId="0" fillId="0" borderId="0" xfId="134" applyFont="1" applyFill="1" applyBorder="1" applyAlignment="1">
      <alignment horizontal="left"/>
      <protection/>
    </xf>
    <xf numFmtId="38" fontId="0" fillId="0" borderId="0" xfId="0" applyNumberFormat="1" applyFont="1" applyBorder="1" applyAlignment="1">
      <alignment/>
    </xf>
    <xf numFmtId="0" fontId="0" fillId="0" borderId="0" xfId="147" applyFont="1" applyFill="1" applyBorder="1">
      <alignment/>
      <protection/>
    </xf>
    <xf numFmtId="0" fontId="3" fillId="0" borderId="0" xfId="147" applyFont="1" applyFill="1" applyAlignment="1">
      <alignment horizontal="center"/>
      <protection/>
    </xf>
    <xf numFmtId="0" fontId="0" fillId="0" borderId="0" xfId="147" applyFont="1" applyFill="1" applyBorder="1">
      <alignment/>
      <protection/>
    </xf>
    <xf numFmtId="173" fontId="0" fillId="0" borderId="14" xfId="0" applyNumberFormat="1" applyFont="1" applyBorder="1" applyAlignment="1">
      <alignment/>
    </xf>
    <xf numFmtId="0" fontId="9" fillId="0" borderId="0" xfId="0" applyFont="1" applyAlignment="1">
      <alignment horizontal="center"/>
    </xf>
    <xf numFmtId="41" fontId="0" fillId="0" borderId="0" xfId="0" applyNumberFormat="1" applyFill="1" applyAlignment="1">
      <alignment/>
    </xf>
    <xf numFmtId="0" fontId="85" fillId="0" borderId="0" xfId="0" applyFont="1" applyFill="1" applyAlignment="1">
      <alignment horizontal="center"/>
    </xf>
    <xf numFmtId="0" fontId="110" fillId="0" borderId="0" xfId="0" applyFont="1" applyFill="1" applyAlignment="1">
      <alignment/>
    </xf>
    <xf numFmtId="41" fontId="110" fillId="0" borderId="0" xfId="147" applyNumberFormat="1" applyFont="1" applyFill="1" applyBorder="1">
      <alignment/>
      <protection/>
    </xf>
    <xf numFmtId="0" fontId="110" fillId="0" borderId="11" xfId="0" applyFont="1" applyFill="1" applyBorder="1" applyAlignment="1">
      <alignment/>
    </xf>
    <xf numFmtId="41" fontId="110" fillId="0" borderId="0" xfId="0" applyNumberFormat="1" applyFont="1" applyFill="1" applyAlignment="1">
      <alignment/>
    </xf>
    <xf numFmtId="173" fontId="110" fillId="0" borderId="14" xfId="0" applyNumberFormat="1" applyFont="1" applyFill="1" applyBorder="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11" xfId="0" applyFont="1" applyFill="1" applyBorder="1" applyAlignment="1">
      <alignment/>
    </xf>
    <xf numFmtId="0" fontId="3" fillId="0" borderId="0" xfId="0" applyFont="1" applyFill="1" applyBorder="1" applyAlignment="1">
      <alignment/>
    </xf>
    <xf numFmtId="41" fontId="3" fillId="0" borderId="11" xfId="14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3" fontId="18" fillId="0" borderId="11" xfId="0" applyNumberFormat="1" applyFont="1" applyFill="1" applyBorder="1" applyAlignment="1">
      <alignment/>
    </xf>
    <xf numFmtId="173" fontId="72" fillId="26" borderId="0" xfId="151" applyNumberFormat="1" applyFont="1" applyFill="1" applyBorder="1">
      <alignment/>
      <protection/>
    </xf>
    <xf numFmtId="0" fontId="66" fillId="26" borderId="0" xfId="151" applyFont="1" applyFill="1" applyAlignment="1">
      <alignment horizontal="center"/>
      <protection/>
    </xf>
    <xf numFmtId="174" fontId="0" fillId="0" borderId="0" xfId="85" applyNumberFormat="1" applyFont="1" applyAlignment="1">
      <alignment/>
    </xf>
    <xf numFmtId="0" fontId="0" fillId="0" borderId="0" xfId="147" applyFont="1" applyFill="1" applyAlignment="1">
      <alignment horizontal="center"/>
      <protection/>
    </xf>
    <xf numFmtId="3" fontId="0" fillId="26" borderId="0" xfId="134" applyNumberFormat="1" applyFont="1" applyFill="1" applyBorder="1" applyAlignment="1">
      <alignment/>
      <protection/>
    </xf>
    <xf numFmtId="0" fontId="3" fillId="26" borderId="0" xfId="0" applyFont="1" applyFill="1" applyAlignment="1">
      <alignment/>
    </xf>
    <xf numFmtId="10" fontId="0" fillId="0" borderId="0" xfId="157"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157" applyNumberFormat="1" applyFont="1" applyFill="1" applyAlignment="1">
      <alignment/>
    </xf>
    <xf numFmtId="0" fontId="69" fillId="0" borderId="0" xfId="151" applyFont="1" applyFill="1">
      <alignment/>
      <protection/>
    </xf>
    <xf numFmtId="41" fontId="66" fillId="26" borderId="0" xfId="151" applyNumberFormat="1" applyFont="1" applyFill="1">
      <alignment/>
      <protection/>
    </xf>
    <xf numFmtId="0" fontId="66" fillId="26" borderId="0" xfId="151" applyFont="1" applyFill="1">
      <alignment/>
      <protection/>
    </xf>
    <xf numFmtId="41" fontId="81" fillId="27" borderId="0" xfId="151" applyNumberFormat="1" applyFont="1" applyFill="1">
      <alignment/>
      <protection/>
    </xf>
    <xf numFmtId="41" fontId="81" fillId="27" borderId="0" xfId="151" applyNumberFormat="1" applyFont="1" applyFill="1" applyBorder="1">
      <alignment/>
      <protection/>
    </xf>
    <xf numFmtId="10" fontId="66" fillId="26" borderId="11" xfId="157" applyNumberFormat="1" applyFont="1" applyFill="1" applyBorder="1" applyAlignment="1">
      <alignment/>
    </xf>
    <xf numFmtId="173" fontId="66" fillId="26" borderId="0" xfId="73" applyNumberFormat="1" applyFont="1" applyFill="1" applyAlignment="1">
      <alignment/>
    </xf>
    <xf numFmtId="173" fontId="66" fillId="26" borderId="13" xfId="73" applyNumberFormat="1" applyFont="1" applyFill="1" applyBorder="1" applyAlignment="1">
      <alignment/>
    </xf>
    <xf numFmtId="0" fontId="66" fillId="0" borderId="0" xfId="151" applyFont="1" applyBorder="1">
      <alignment/>
      <protection/>
    </xf>
    <xf numFmtId="10" fontId="1" fillId="0" borderId="0" xfId="153" applyNumberFormat="1" applyAlignment="1" applyProtection="1">
      <alignment horizontal="center"/>
      <protection/>
    </xf>
    <xf numFmtId="172" fontId="1" fillId="0" borderId="0" xfId="150" applyFont="1" applyAlignment="1" applyProtection="1">
      <alignment/>
      <protection/>
    </xf>
    <xf numFmtId="172" fontId="3" fillId="0" borderId="0" xfId="150" applyFont="1" applyAlignment="1" applyProtection="1">
      <alignment/>
      <protection/>
    </xf>
    <xf numFmtId="0" fontId="0" fillId="0" borderId="0" xfId="0" applyBorder="1" applyAlignment="1" applyProtection="1">
      <alignment/>
      <protection/>
    </xf>
    <xf numFmtId="0" fontId="4" fillId="0" borderId="0" xfId="150" applyNumberFormat="1" applyFont="1" applyBorder="1" applyAlignment="1" applyProtection="1">
      <alignment horizontal="left"/>
      <protection/>
    </xf>
    <xf numFmtId="14" fontId="4" fillId="0" borderId="0" xfId="150" applyNumberFormat="1" applyFont="1" applyBorder="1" applyAlignment="1" applyProtection="1">
      <alignment/>
      <protection/>
    </xf>
    <xf numFmtId="172" fontId="4" fillId="0" borderId="0" xfId="150" applyFont="1" applyFill="1" applyAlignment="1" applyProtection="1">
      <alignment/>
      <protection/>
    </xf>
    <xf numFmtId="172" fontId="3" fillId="0" borderId="0" xfId="150" applyFont="1" applyFill="1" applyAlignment="1" applyProtection="1">
      <alignment/>
      <protection/>
    </xf>
    <xf numFmtId="0" fontId="3" fillId="0" borderId="0" xfId="150"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50" applyNumberFormat="1" applyFont="1" applyProtection="1">
      <alignment/>
      <protection/>
    </xf>
    <xf numFmtId="0" fontId="3" fillId="0" borderId="0" xfId="150"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50"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50" applyNumberFormat="1" applyFont="1" applyAlignment="1" applyProtection="1">
      <alignment horizontal="center"/>
      <protection/>
    </xf>
    <xf numFmtId="0" fontId="3" fillId="0" borderId="0" xfId="150" applyNumberFormat="1" applyFont="1" applyAlignment="1" applyProtection="1">
      <alignment horizontal="center"/>
      <protection/>
    </xf>
    <xf numFmtId="49" fontId="3" fillId="0" borderId="0" xfId="150"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50" applyNumberFormat="1" applyFont="1" applyProtection="1">
      <alignment/>
      <protection/>
    </xf>
    <xf numFmtId="39" fontId="3" fillId="0" borderId="0" xfId="73" applyNumberFormat="1" applyFont="1" applyAlignment="1" applyProtection="1">
      <alignment horizontal="center"/>
      <protection/>
    </xf>
    <xf numFmtId="0" fontId="1" fillId="0" borderId="6" xfId="150" applyNumberFormat="1" applyFont="1" applyBorder="1" applyAlignment="1" applyProtection="1">
      <alignment horizontal="center"/>
      <protection/>
    </xf>
    <xf numFmtId="0" fontId="3" fillId="0" borderId="0" xfId="150" applyNumberFormat="1" applyFont="1" applyBorder="1" applyAlignment="1" applyProtection="1">
      <alignment horizontal="center"/>
      <protection/>
    </xf>
    <xf numFmtId="0" fontId="3" fillId="0" borderId="6" xfId="150"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50" applyNumberFormat="1" applyFont="1" applyFill="1" applyProtection="1">
      <alignment/>
      <protection/>
    </xf>
    <xf numFmtId="3" fontId="3" fillId="0" borderId="0" xfId="150" applyNumberFormat="1" applyFont="1" applyProtection="1">
      <alignment/>
      <protection/>
    </xf>
    <xf numFmtId="0" fontId="3" fillId="0" borderId="0" xfId="150" applyNumberFormat="1" applyFont="1" applyAlignment="1" applyProtection="1">
      <alignment horizontal="left"/>
      <protection/>
    </xf>
    <xf numFmtId="170" fontId="3" fillId="0" borderId="0" xfId="150" applyNumberFormat="1" applyFont="1" applyProtection="1">
      <alignment/>
      <protection/>
    </xf>
    <xf numFmtId="3" fontId="3" fillId="0" borderId="0" xfId="150" applyNumberFormat="1" applyFont="1" applyFill="1" applyAlignment="1" applyProtection="1">
      <alignment horizontal="left"/>
      <protection/>
    </xf>
    <xf numFmtId="3" fontId="3" fillId="0" borderId="0" xfId="150" applyNumberFormat="1" applyFont="1" applyFill="1" applyAlignment="1" applyProtection="1">
      <alignment/>
      <protection/>
    </xf>
    <xf numFmtId="0" fontId="3" fillId="0" borderId="6" xfId="150"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50" applyNumberFormat="1" applyFont="1" applyFill="1" applyBorder="1" applyAlignment="1" applyProtection="1">
      <alignment/>
      <protection/>
    </xf>
    <xf numFmtId="3" fontId="3" fillId="0" borderId="0" xfId="150" applyNumberFormat="1" applyFont="1" applyFill="1" applyAlignment="1" applyProtection="1">
      <alignment horizontal="center"/>
      <protection/>
    </xf>
    <xf numFmtId="165" fontId="3" fillId="0" borderId="0" xfId="150" applyNumberFormat="1" applyFont="1" applyFill="1" applyAlignment="1" applyProtection="1">
      <alignment horizontal="right"/>
      <protection/>
    </xf>
    <xf numFmtId="42" fontId="3" fillId="0" borderId="0" xfId="150" applyNumberFormat="1" applyFont="1" applyBorder="1" applyAlignment="1" applyProtection="1">
      <alignment/>
      <protection/>
    </xf>
    <xf numFmtId="172" fontId="3" fillId="0" borderId="11" xfId="150" applyFont="1" applyBorder="1" applyAlignment="1" applyProtection="1">
      <alignment/>
      <protection/>
    </xf>
    <xf numFmtId="172" fontId="3" fillId="0" borderId="0" xfId="150" applyFont="1" applyBorder="1" applyAlignment="1" applyProtection="1">
      <alignment/>
      <protection/>
    </xf>
    <xf numFmtId="0" fontId="1" fillId="0" borderId="0" xfId="150" applyNumberFormat="1" applyFont="1" applyFill="1" applyAlignment="1" applyProtection="1">
      <alignment horizontal="center"/>
      <protection/>
    </xf>
    <xf numFmtId="0" fontId="3" fillId="0" borderId="0" xfId="150"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50" applyNumberFormat="1" applyFont="1" applyAlignment="1" applyProtection="1">
      <alignment horizontal="left"/>
      <protection/>
    </xf>
    <xf numFmtId="3" fontId="3" fillId="0" borderId="0" xfId="150" applyNumberFormat="1" applyFont="1" applyAlignment="1" applyProtection="1">
      <alignment horizontal="center"/>
      <protection/>
    </xf>
    <xf numFmtId="174" fontId="3" fillId="0" borderId="14" xfId="150" applyNumberFormat="1" applyFont="1" applyBorder="1" applyAlignment="1" applyProtection="1">
      <alignment/>
      <protection/>
    </xf>
    <xf numFmtId="42" fontId="3" fillId="0" borderId="0" xfId="150" applyNumberFormat="1" applyFont="1" applyAlignment="1" applyProtection="1">
      <alignment/>
      <protection/>
    </xf>
    <xf numFmtId="172" fontId="71" fillId="0" borderId="0" xfId="150"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50" applyNumberFormat="1" applyFont="1" applyFill="1" applyAlignment="1" applyProtection="1">
      <alignment/>
      <protection/>
    </xf>
    <xf numFmtId="42" fontId="3" fillId="0" borderId="0" xfId="150" applyNumberFormat="1" applyFont="1" applyFill="1" applyAlignment="1" applyProtection="1">
      <alignment/>
      <protection/>
    </xf>
    <xf numFmtId="43" fontId="3" fillId="0" borderId="0" xfId="73" applyFont="1" applyAlignment="1" applyProtection="1">
      <alignment/>
      <protection/>
    </xf>
    <xf numFmtId="0" fontId="3" fillId="0" borderId="0" xfId="150" applyNumberFormat="1" applyFont="1" applyFill="1" applyAlignment="1" applyProtection="1">
      <alignment/>
      <protection/>
    </xf>
    <xf numFmtId="171" fontId="3" fillId="0" borderId="0" xfId="150" applyNumberFormat="1" applyFont="1" applyProtection="1">
      <alignment/>
      <protection/>
    </xf>
    <xf numFmtId="10" fontId="3" fillId="0" borderId="0" xfId="150" applyNumberFormat="1" applyFont="1" applyAlignment="1" applyProtection="1">
      <alignment/>
      <protection/>
    </xf>
    <xf numFmtId="10" fontId="3" fillId="0" borderId="0" xfId="150" applyNumberFormat="1" applyFont="1" applyProtection="1">
      <alignment/>
      <protection/>
    </xf>
    <xf numFmtId="0" fontId="0" fillId="0" borderId="0" xfId="0" applyFont="1" applyAlignment="1" applyProtection="1">
      <alignment/>
      <protection/>
    </xf>
    <xf numFmtId="10" fontId="3" fillId="0" borderId="0" xfId="157" applyNumberFormat="1" applyFont="1" applyAlignment="1" applyProtection="1">
      <alignment/>
      <protection/>
    </xf>
    <xf numFmtId="187" fontId="3" fillId="0" borderId="0" xfId="150"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50" applyNumberFormat="1" applyFont="1" applyAlignment="1" applyProtection="1">
      <alignment horizontal="center"/>
      <protection/>
    </xf>
    <xf numFmtId="41" fontId="3" fillId="0" borderId="14" xfId="150" applyNumberFormat="1" applyFont="1" applyBorder="1" applyAlignment="1" applyProtection="1">
      <alignment horizontal="center"/>
      <protection/>
    </xf>
    <xf numFmtId="41" fontId="3" fillId="0" borderId="0" xfId="150" applyNumberFormat="1" applyFont="1" applyFill="1" applyAlignment="1" applyProtection="1">
      <alignment horizontal="right"/>
      <protection/>
    </xf>
    <xf numFmtId="42" fontId="3" fillId="0" borderId="0" xfId="157" applyNumberFormat="1" applyFont="1" applyAlignment="1" applyProtection="1">
      <alignment/>
      <protection/>
    </xf>
    <xf numFmtId="43" fontId="3" fillId="0" borderId="0" xfId="150" applyNumberFormat="1" applyFont="1" applyFill="1" applyAlignment="1" applyProtection="1">
      <alignment horizontal="right"/>
      <protection/>
    </xf>
    <xf numFmtId="172" fontId="3" fillId="0" borderId="0" xfId="150" applyFont="1" applyFill="1" applyAlignment="1" applyProtection="1">
      <alignment horizontal="right"/>
      <protection/>
    </xf>
    <xf numFmtId="0" fontId="0" fillId="0" borderId="0" xfId="0" applyFont="1" applyAlignment="1" applyProtection="1">
      <alignment horizontal="center"/>
      <protection/>
    </xf>
    <xf numFmtId="49" fontId="3" fillId="0" borderId="0" xfId="150" applyNumberFormat="1" applyFont="1" applyAlignment="1" applyProtection="1">
      <alignment horizontal="left"/>
      <protection/>
    </xf>
    <xf numFmtId="0" fontId="1" fillId="0" borderId="0" xfId="150" applyNumberFormat="1" applyFont="1" applyAlignment="1" applyProtection="1">
      <alignment horizontal="center" vertical="center"/>
      <protection/>
    </xf>
    <xf numFmtId="3" fontId="4" fillId="0" borderId="0" xfId="150" applyNumberFormat="1" applyFont="1" applyAlignment="1" applyProtection="1">
      <alignment horizontal="center"/>
      <protection/>
    </xf>
    <xf numFmtId="172" fontId="4" fillId="0" borderId="0" xfId="150" applyFont="1" applyAlignment="1" applyProtection="1">
      <alignment horizontal="center"/>
      <protection/>
    </xf>
    <xf numFmtId="49" fontId="4" fillId="0" borderId="0" xfId="150" applyNumberFormat="1" applyFont="1" applyAlignment="1" applyProtection="1">
      <alignment horizontal="center"/>
      <protection/>
    </xf>
    <xf numFmtId="0" fontId="10" fillId="0" borderId="0" xfId="150" applyNumberFormat="1" applyFont="1" applyAlignment="1" applyProtection="1">
      <alignment horizontal="center"/>
      <protection/>
    </xf>
    <xf numFmtId="172" fontId="10" fillId="0" borderId="0" xfId="150" applyFont="1" applyBorder="1" applyAlignment="1" applyProtection="1">
      <alignment horizontal="center"/>
      <protection/>
    </xf>
    <xf numFmtId="3" fontId="4" fillId="0" borderId="0" xfId="150" applyNumberFormat="1" applyFont="1" applyAlignment="1" applyProtection="1">
      <alignment/>
      <protection/>
    </xf>
    <xf numFmtId="0" fontId="1" fillId="0" borderId="0" xfId="150" applyNumberFormat="1" applyFont="1" applyBorder="1" applyAlignment="1" applyProtection="1">
      <alignment horizontal="center"/>
      <protection/>
    </xf>
    <xf numFmtId="3" fontId="13" fillId="0" borderId="0" xfId="150" applyNumberFormat="1" applyFont="1" applyAlignment="1" applyProtection="1">
      <alignment horizontal="center"/>
      <protection/>
    </xf>
    <xf numFmtId="3" fontId="3" fillId="0" borderId="0" xfId="150" applyNumberFormat="1" applyFont="1" applyFill="1" applyBorder="1" applyAlignment="1" applyProtection="1">
      <alignment horizontal="center"/>
      <protection/>
    </xf>
    <xf numFmtId="0" fontId="3" fillId="0" borderId="0" xfId="150"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50" applyNumberFormat="1" applyFont="1" applyAlignment="1" applyProtection="1">
      <alignment horizontal="center" vertical="center"/>
      <protection/>
    </xf>
    <xf numFmtId="0" fontId="3" fillId="0" borderId="0" xfId="150" applyNumberFormat="1" applyFont="1" applyBorder="1" applyAlignment="1" applyProtection="1">
      <alignment vertical="center"/>
      <protection/>
    </xf>
    <xf numFmtId="3" fontId="3" fillId="0" borderId="0" xfId="150" applyNumberFormat="1" applyFont="1" applyFill="1" applyAlignment="1" applyProtection="1">
      <alignment vertical="center" wrapText="1"/>
      <protection/>
    </xf>
    <xf numFmtId="3" fontId="3" fillId="0" borderId="0" xfId="150" applyNumberFormat="1" applyFont="1" applyFill="1" applyAlignment="1" applyProtection="1">
      <alignment horizontal="center" vertical="center"/>
      <protection/>
    </xf>
    <xf numFmtId="3" fontId="3" fillId="0" borderId="0" xfId="150" applyNumberFormat="1" applyFont="1" applyFill="1" applyAlignment="1" applyProtection="1">
      <alignment vertical="center"/>
      <protection/>
    </xf>
    <xf numFmtId="41" fontId="3" fillId="0" borderId="0" xfId="150" applyNumberFormat="1" applyFont="1" applyFill="1" applyAlignment="1" applyProtection="1">
      <alignment vertical="center"/>
      <protection/>
    </xf>
    <xf numFmtId="0" fontId="3" fillId="0" borderId="0" xfId="150" applyNumberFormat="1" applyFont="1" applyFill="1" applyBorder="1" applyAlignment="1" applyProtection="1">
      <alignment/>
      <protection/>
    </xf>
    <xf numFmtId="0" fontId="3" fillId="0" borderId="0" xfId="150" applyNumberFormat="1" applyFont="1" applyFill="1" applyBorder="1" applyAlignment="1" applyProtection="1">
      <alignment vertical="center"/>
      <protection/>
    </xf>
    <xf numFmtId="41" fontId="4" fillId="20" borderId="0" xfId="150" applyNumberFormat="1" applyFont="1" applyFill="1" applyAlignment="1" applyProtection="1">
      <alignment horizontal="center" vertical="center"/>
      <protection/>
    </xf>
    <xf numFmtId="164" fontId="3" fillId="0" borderId="0" xfId="157" applyNumberFormat="1" applyFont="1" applyAlignment="1" applyProtection="1">
      <alignment/>
      <protection/>
    </xf>
    <xf numFmtId="41" fontId="3" fillId="0" borderId="6" xfId="150" applyNumberFormat="1" applyFont="1" applyFill="1" applyBorder="1" applyAlignment="1" applyProtection="1">
      <alignment/>
      <protection/>
    </xf>
    <xf numFmtId="0" fontId="0" fillId="0" borderId="0" xfId="0" applyFont="1" applyAlignment="1" applyProtection="1">
      <alignment/>
      <protection/>
    </xf>
    <xf numFmtId="172" fontId="4" fillId="0" borderId="0" xfId="150" applyFont="1" applyFill="1" applyAlignment="1" applyProtection="1">
      <alignment horizontal="right"/>
      <protection/>
    </xf>
    <xf numFmtId="178" fontId="4" fillId="0" borderId="0" xfId="150"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50" applyNumberFormat="1" applyFont="1" applyFill="1" applyAlignment="1" applyProtection="1">
      <alignment/>
      <protection/>
    </xf>
    <xf numFmtId="185" fontId="3" fillId="0" borderId="0" xfId="150" applyNumberFormat="1" applyFont="1" applyFill="1" applyAlignment="1" applyProtection="1">
      <alignment/>
      <protection/>
    </xf>
    <xf numFmtId="184" fontId="3" fillId="0" borderId="0" xfId="150" applyNumberFormat="1" applyFont="1" applyFill="1" applyAlignment="1" applyProtection="1">
      <alignment/>
      <protection/>
    </xf>
    <xf numFmtId="3" fontId="4" fillId="0" borderId="0" xfId="150" applyNumberFormat="1" applyFont="1" applyFill="1" applyAlignment="1" applyProtection="1">
      <alignment horizontal="right" vertical="center"/>
      <protection/>
    </xf>
    <xf numFmtId="165" fontId="3" fillId="0" borderId="0" xfId="150" applyNumberFormat="1" applyFont="1" applyFill="1" applyAlignment="1" applyProtection="1">
      <alignment/>
      <protection/>
    </xf>
    <xf numFmtId="0" fontId="3" fillId="0" borderId="0" xfId="150" applyNumberFormat="1" applyFont="1" applyFill="1" applyAlignment="1" applyProtection="1">
      <alignment horizontal="center" vertical="center"/>
      <protection/>
    </xf>
    <xf numFmtId="0" fontId="3" fillId="0" borderId="0" xfId="150"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50"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50" applyNumberFormat="1" applyFont="1" applyAlignment="1" applyProtection="1">
      <alignment/>
      <protection/>
    </xf>
    <xf numFmtId="165" fontId="3" fillId="0" borderId="0" xfId="150" applyNumberFormat="1" applyFont="1" applyAlignment="1" applyProtection="1">
      <alignment/>
      <protection/>
    </xf>
    <xf numFmtId="3" fontId="4" fillId="0" borderId="0" xfId="150"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50"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57" applyNumberFormat="1" applyFont="1" applyFill="1" applyAlignment="1" applyProtection="1">
      <alignment/>
      <protection/>
    </xf>
    <xf numFmtId="175" fontId="3" fillId="0" borderId="0" xfId="150" applyNumberFormat="1" applyFont="1" applyFill="1" applyAlignment="1" applyProtection="1">
      <alignment/>
      <protection/>
    </xf>
    <xf numFmtId="41" fontId="3" fillId="0" borderId="0" xfId="150" applyNumberFormat="1" applyFont="1" applyAlignment="1" applyProtection="1">
      <alignment horizontal="center" vertical="center"/>
      <protection/>
    </xf>
    <xf numFmtId="41" fontId="3" fillId="0" borderId="6" xfId="150" applyNumberFormat="1" applyFont="1" applyBorder="1" applyAlignment="1" applyProtection="1">
      <alignment/>
      <protection/>
    </xf>
    <xf numFmtId="41" fontId="3" fillId="0" borderId="18" xfId="150" applyNumberFormat="1" applyFont="1" applyBorder="1" applyAlignment="1" applyProtection="1">
      <alignment/>
      <protection/>
    </xf>
    <xf numFmtId="164" fontId="3" fillId="0" borderId="0" xfId="150" applyNumberFormat="1" applyFont="1" applyAlignment="1" applyProtection="1">
      <alignment horizontal="center"/>
      <protection/>
    </xf>
    <xf numFmtId="0" fontId="83" fillId="0" borderId="0" xfId="150" applyNumberFormat="1" applyFont="1" applyAlignment="1" applyProtection="1">
      <alignment horizontal="center"/>
      <protection/>
    </xf>
    <xf numFmtId="3" fontId="3" fillId="0" borderId="0" xfId="150" applyNumberFormat="1" applyFont="1" applyFill="1" applyAlignment="1" applyProtection="1">
      <alignment horizontal="right"/>
      <protection/>
    </xf>
    <xf numFmtId="172" fontId="3" fillId="0" borderId="0" xfId="150" applyFont="1" applyAlignment="1" applyProtection="1">
      <alignment horizontal="center"/>
      <protection/>
    </xf>
    <xf numFmtId="172" fontId="3" fillId="0" borderId="0" xfId="150" applyFont="1" applyFill="1" applyAlignment="1" applyProtection="1">
      <alignment horizontal="center"/>
      <protection/>
    </xf>
    <xf numFmtId="0" fontId="0" fillId="0" borderId="0" xfId="0" applyAlignment="1" applyProtection="1">
      <alignment horizontal="center"/>
      <protection/>
    </xf>
    <xf numFmtId="49" fontId="3" fillId="0" borderId="0" xfId="150" applyNumberFormat="1" applyFont="1" applyFill="1" applyAlignment="1" applyProtection="1">
      <alignment horizontal="center"/>
      <protection/>
    </xf>
    <xf numFmtId="0" fontId="4" fillId="0" borderId="0" xfId="150" applyNumberFormat="1" applyFont="1" applyFill="1" applyAlignment="1" applyProtection="1">
      <alignment horizontal="center"/>
      <protection/>
    </xf>
    <xf numFmtId="172" fontId="4" fillId="0" borderId="0" xfId="150" applyFont="1" applyAlignment="1" applyProtection="1">
      <alignment/>
      <protection/>
    </xf>
    <xf numFmtId="0" fontId="4" fillId="0" borderId="0" xfId="150" applyNumberFormat="1" applyFont="1" applyAlignment="1" applyProtection="1">
      <alignment horizontal="center"/>
      <protection/>
    </xf>
    <xf numFmtId="3" fontId="10" fillId="0" borderId="0" xfId="150" applyNumberFormat="1" applyFont="1" applyAlignment="1" applyProtection="1">
      <alignment horizontal="center"/>
      <protection/>
    </xf>
    <xf numFmtId="3" fontId="4" fillId="0" borderId="0" xfId="150" applyNumberFormat="1" applyFont="1" applyFill="1" applyAlignment="1" applyProtection="1">
      <alignment/>
      <protection/>
    </xf>
    <xf numFmtId="3" fontId="10" fillId="0" borderId="0" xfId="150" applyNumberFormat="1" applyFont="1" applyFill="1" applyAlignment="1" applyProtection="1">
      <alignment/>
      <protection/>
    </xf>
    <xf numFmtId="3" fontId="10" fillId="0" borderId="0" xfId="150"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50" applyNumberFormat="1" applyFont="1" applyFill="1" applyAlignment="1" applyProtection="1">
      <alignment horizontal="center"/>
      <protection/>
    </xf>
    <xf numFmtId="3" fontId="91" fillId="0" borderId="0" xfId="150" applyNumberFormat="1" applyFont="1" applyFill="1" applyAlignment="1" applyProtection="1">
      <alignment horizontal="right"/>
      <protection/>
    </xf>
    <xf numFmtId="41" fontId="3" fillId="0" borderId="0" xfId="150" applyNumberFormat="1" applyFont="1" applyBorder="1" applyAlignment="1" applyProtection="1">
      <alignment/>
      <protection/>
    </xf>
    <xf numFmtId="41" fontId="18" fillId="0" borderId="0" xfId="150" applyNumberFormat="1" applyFont="1" applyFill="1" applyAlignment="1" applyProtection="1">
      <alignment/>
      <protection/>
    </xf>
    <xf numFmtId="3" fontId="3" fillId="0" borderId="0" xfId="150" applyNumberFormat="1" applyFont="1" applyAlignment="1" applyProtection="1">
      <alignment vertical="center" wrapText="1"/>
      <protection/>
    </xf>
    <xf numFmtId="41" fontId="91" fillId="0" borderId="0" xfId="150" applyNumberFormat="1" applyFont="1" applyFill="1" applyAlignment="1" applyProtection="1">
      <alignment horizontal="right"/>
      <protection/>
    </xf>
    <xf numFmtId="3" fontId="3" fillId="0" borderId="0" xfId="150" applyNumberFormat="1" applyFont="1" applyAlignment="1" applyProtection="1">
      <alignment horizontal="center" vertical="center"/>
      <protection/>
    </xf>
    <xf numFmtId="3" fontId="3" fillId="0" borderId="0" xfId="150" applyNumberFormat="1" applyFont="1" applyAlignment="1" applyProtection="1">
      <alignment vertical="center"/>
      <protection/>
    </xf>
    <xf numFmtId="41" fontId="3" fillId="0" borderId="0" xfId="150" applyNumberFormat="1" applyFont="1" applyAlignment="1" applyProtection="1">
      <alignment vertical="center"/>
      <protection/>
    </xf>
    <xf numFmtId="43" fontId="3" fillId="0" borderId="0" xfId="157" applyNumberFormat="1" applyFont="1" applyFill="1" applyAlignment="1" applyProtection="1">
      <alignment/>
      <protection/>
    </xf>
    <xf numFmtId="166" fontId="3" fillId="0" borderId="0" xfId="150" applyNumberFormat="1" applyFont="1" applyAlignment="1" applyProtection="1">
      <alignment/>
      <protection/>
    </xf>
    <xf numFmtId="167" fontId="3" fillId="0" borderId="0" xfId="150" applyNumberFormat="1" applyFont="1" applyAlignment="1" applyProtection="1">
      <alignment/>
      <protection/>
    </xf>
    <xf numFmtId="172" fontId="21" fillId="0" borderId="0" xfId="150" applyFont="1" applyAlignment="1" applyProtection="1">
      <alignment/>
      <protection/>
    </xf>
    <xf numFmtId="164" fontId="3" fillId="0" borderId="0" xfId="150" applyNumberFormat="1" applyFont="1" applyBorder="1" applyAlignment="1" applyProtection="1">
      <alignment horizontal="left"/>
      <protection/>
    </xf>
    <xf numFmtId="168" fontId="3" fillId="0" borderId="0" xfId="150" applyNumberFormat="1" applyFont="1" applyAlignment="1" applyProtection="1">
      <alignment/>
      <protection/>
    </xf>
    <xf numFmtId="10" fontId="3" fillId="0" borderId="0" xfId="150" applyNumberFormat="1" applyFont="1" applyFill="1" applyAlignment="1" applyProtection="1">
      <alignment horizontal="right"/>
      <protection/>
    </xf>
    <xf numFmtId="10" fontId="0" fillId="0" borderId="0" xfId="157" applyNumberFormat="1" applyFont="1" applyAlignment="1" applyProtection="1">
      <alignment/>
      <protection/>
    </xf>
    <xf numFmtId="3" fontId="21" fillId="0" borderId="0" xfId="150" applyNumberFormat="1" applyFont="1" applyAlignment="1" applyProtection="1">
      <alignment/>
      <protection/>
    </xf>
    <xf numFmtId="167" fontId="3" fillId="0" borderId="0" xfId="150" applyNumberFormat="1" applyFont="1" applyFill="1" applyAlignment="1" applyProtection="1">
      <alignment/>
      <protection/>
    </xf>
    <xf numFmtId="166" fontId="3" fillId="0" borderId="0" xfId="150" applyNumberFormat="1" applyFont="1" applyAlignment="1" applyProtection="1">
      <alignment horizontal="center"/>
      <protection/>
    </xf>
    <xf numFmtId="190" fontId="21" fillId="0" borderId="0" xfId="150" applyNumberFormat="1" applyFont="1" applyAlignment="1" applyProtection="1">
      <alignment horizontal="center"/>
      <protection/>
    </xf>
    <xf numFmtId="191" fontId="3" fillId="0" borderId="0" xfId="150" applyNumberFormat="1" applyFont="1" applyAlignment="1" applyProtection="1">
      <alignment/>
      <protection/>
    </xf>
    <xf numFmtId="164" fontId="3" fillId="0" borderId="0" xfId="150" applyNumberFormat="1" applyFont="1" applyFill="1" applyBorder="1" applyAlignment="1" applyProtection="1">
      <alignment horizontal="left"/>
      <protection/>
    </xf>
    <xf numFmtId="179" fontId="3" fillId="0" borderId="0" xfId="150"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50" applyNumberFormat="1" applyFont="1" applyAlignment="1" applyProtection="1">
      <alignment/>
      <protection/>
    </xf>
    <xf numFmtId="43" fontId="21" fillId="0" borderId="0" xfId="73" applyFont="1" applyAlignment="1" applyProtection="1">
      <alignment/>
      <protection/>
    </xf>
    <xf numFmtId="179" fontId="3" fillId="0" borderId="0" xfId="150" applyNumberFormat="1" applyFont="1" applyAlignment="1" applyProtection="1">
      <alignment horizontal="center"/>
      <protection/>
    </xf>
    <xf numFmtId="10" fontId="3" fillId="0" borderId="0" xfId="150" applyNumberFormat="1" applyFont="1" applyFill="1" applyAlignment="1" applyProtection="1">
      <alignment horizontal="left"/>
      <protection/>
    </xf>
    <xf numFmtId="190" fontId="3" fillId="0" borderId="0" xfId="150" applyNumberFormat="1" applyFont="1" applyAlignment="1" applyProtection="1">
      <alignment horizontal="center"/>
      <protection/>
    </xf>
    <xf numFmtId="168" fontId="3" fillId="0" borderId="0" xfId="150" applyNumberFormat="1" applyFont="1" applyFill="1" applyAlignment="1" applyProtection="1">
      <alignment horizontal="left"/>
      <protection/>
    </xf>
    <xf numFmtId="41" fontId="3" fillId="0" borderId="0" xfId="150" applyNumberFormat="1" applyFont="1" applyAlignment="1" applyProtection="1">
      <alignment horizontal="right"/>
      <protection/>
    </xf>
    <xf numFmtId="41" fontId="3" fillId="0" borderId="11" xfId="150" applyNumberFormat="1" applyFont="1" applyBorder="1" applyAlignment="1" applyProtection="1">
      <alignment/>
      <protection/>
    </xf>
    <xf numFmtId="179" fontId="3" fillId="0" borderId="0" xfId="150" applyNumberFormat="1" applyFont="1" applyAlignment="1" applyProtection="1">
      <alignment/>
      <protection/>
    </xf>
    <xf numFmtId="172" fontId="21" fillId="0" borderId="0" xfId="150" applyFont="1" applyFill="1" applyAlignment="1" applyProtection="1">
      <alignment/>
      <protection/>
    </xf>
    <xf numFmtId="164" fontId="3" fillId="0" borderId="0" xfId="150" applyNumberFormat="1" applyFont="1" applyFill="1" applyBorder="1" applyAlignment="1" applyProtection="1">
      <alignment horizontal="left" vertical="center"/>
      <protection/>
    </xf>
    <xf numFmtId="41" fontId="3" fillId="0" borderId="0" xfId="150" applyNumberFormat="1" applyFont="1" applyFill="1" applyAlignment="1" applyProtection="1">
      <alignment horizontal="center" vertical="center"/>
      <protection/>
    </xf>
    <xf numFmtId="180" fontId="3" fillId="0" borderId="0" xfId="150"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50" applyNumberFormat="1" applyFont="1" applyFill="1" applyBorder="1" applyAlignment="1" applyProtection="1">
      <alignment horizontal="left"/>
      <protection/>
    </xf>
    <xf numFmtId="0" fontId="4" fillId="0" borderId="0" xfId="150" applyNumberFormat="1" applyFont="1" applyAlignment="1" applyProtection="1">
      <alignment/>
      <protection/>
    </xf>
    <xf numFmtId="0" fontId="3" fillId="0" borderId="0" xfId="0" applyFont="1" applyFill="1" applyAlignment="1" applyProtection="1">
      <alignment horizontal="left"/>
      <protection/>
    </xf>
    <xf numFmtId="0" fontId="3" fillId="0" borderId="0" xfId="150" applyNumberFormat="1" applyFont="1" applyFill="1" applyBorder="1" applyProtection="1">
      <alignment/>
      <protection/>
    </xf>
    <xf numFmtId="3" fontId="3" fillId="0" borderId="0" xfId="150" applyNumberFormat="1" applyFont="1" applyFill="1" applyBorder="1" applyAlignment="1" applyProtection="1">
      <alignment/>
      <protection/>
    </xf>
    <xf numFmtId="172" fontId="3" fillId="0" borderId="0" xfId="150" applyFont="1" applyFill="1" applyBorder="1" applyAlignment="1" applyProtection="1">
      <alignment/>
      <protection/>
    </xf>
    <xf numFmtId="172" fontId="3" fillId="0" borderId="0" xfId="150"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50" applyNumberFormat="1" applyFont="1" applyFill="1" applyBorder="1" applyAlignment="1" applyProtection="1">
      <alignment horizontal="left"/>
      <protection/>
    </xf>
    <xf numFmtId="0" fontId="3" fillId="0" borderId="0" xfId="150" applyNumberFormat="1" applyFont="1" applyFill="1" applyBorder="1" applyAlignment="1" applyProtection="1">
      <alignment horizontal="center"/>
      <protection/>
    </xf>
    <xf numFmtId="49" fontId="3" fillId="0" borderId="0" xfId="150" applyNumberFormat="1" applyFont="1" applyFill="1" applyBorder="1" applyProtection="1">
      <alignment/>
      <protection/>
    </xf>
    <xf numFmtId="49" fontId="3" fillId="0" borderId="0" xfId="150" applyNumberFormat="1" applyFont="1" applyFill="1" applyBorder="1" applyAlignment="1" applyProtection="1">
      <alignment/>
      <protection/>
    </xf>
    <xf numFmtId="49" fontId="3" fillId="0" borderId="0" xfId="150" applyNumberFormat="1" applyFont="1" applyFill="1" applyBorder="1" applyAlignment="1" applyProtection="1">
      <alignment horizontal="center"/>
      <protection/>
    </xf>
    <xf numFmtId="3" fontId="4" fillId="0" borderId="0" xfId="150" applyNumberFormat="1" applyFont="1" applyFill="1" applyBorder="1" applyAlignment="1" applyProtection="1">
      <alignment/>
      <protection/>
    </xf>
    <xf numFmtId="165" fontId="4" fillId="0" borderId="0" xfId="150" applyNumberFormat="1" applyFont="1" applyFill="1" applyBorder="1" applyAlignment="1" applyProtection="1">
      <alignment horizontal="right"/>
      <protection/>
    </xf>
    <xf numFmtId="0" fontId="4" fillId="0" borderId="0" xfId="150" applyNumberFormat="1" applyFont="1" applyFill="1" applyAlignment="1" applyProtection="1">
      <alignment/>
      <protection/>
    </xf>
    <xf numFmtId="3" fontId="3" fillId="0" borderId="0" xfId="150" applyNumberFormat="1" applyFont="1" applyFill="1" applyProtection="1">
      <alignment/>
      <protection/>
    </xf>
    <xf numFmtId="3" fontId="3" fillId="0" borderId="0" xfId="150" applyNumberFormat="1" applyFont="1" applyFill="1" applyAlignment="1" applyProtection="1">
      <alignment horizontal="center" wrapText="1"/>
      <protection/>
    </xf>
    <xf numFmtId="4" fontId="3" fillId="0" borderId="0" xfId="150"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50" applyNumberFormat="1" applyFont="1" applyFill="1" applyAlignment="1" applyProtection="1">
      <alignment horizontal="center"/>
      <protection/>
    </xf>
    <xf numFmtId="172" fontId="4" fillId="0" borderId="0" xfId="150" applyFont="1" applyAlignment="1" applyProtection="1">
      <alignment horizontal="right"/>
      <protection/>
    </xf>
    <xf numFmtId="165" fontId="4" fillId="0" borderId="0" xfId="150" applyNumberFormat="1" applyFont="1" applyAlignment="1" applyProtection="1">
      <alignment/>
      <protection/>
    </xf>
    <xf numFmtId="166" fontId="4" fillId="0" borderId="0" xfId="150" applyNumberFormat="1" applyFont="1" applyFill="1" applyProtection="1">
      <alignment/>
      <protection/>
    </xf>
    <xf numFmtId="3" fontId="3" fillId="0" borderId="6" xfId="150" applyNumberFormat="1" applyFont="1" applyFill="1" applyBorder="1" applyAlignment="1" applyProtection="1">
      <alignment horizontal="center"/>
      <protection/>
    </xf>
    <xf numFmtId="0" fontId="13" fillId="0" borderId="0" xfId="150" applyNumberFormat="1" applyFont="1" applyFill="1" applyBorder="1" applyAlignment="1" applyProtection="1">
      <alignment horizontal="left"/>
      <protection/>
    </xf>
    <xf numFmtId="172" fontId="3" fillId="0" borderId="0" xfId="150" applyFont="1" applyAlignment="1" applyProtection="1">
      <alignment/>
      <protection/>
    </xf>
    <xf numFmtId="173" fontId="3" fillId="0" borderId="0" xfId="73" applyNumberFormat="1" applyFont="1" applyAlignment="1" applyProtection="1">
      <alignment/>
      <protection/>
    </xf>
    <xf numFmtId="0" fontId="3" fillId="0" borderId="0" xfId="150" applyNumberFormat="1" applyFont="1" applyFill="1" applyAlignment="1" applyProtection="1">
      <alignment horizontal="left"/>
      <protection/>
    </xf>
    <xf numFmtId="3" fontId="21" fillId="0" borderId="0" xfId="150"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50"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50" applyNumberFormat="1" applyFont="1" applyFill="1" applyBorder="1" applyAlignment="1" applyProtection="1">
      <alignment/>
      <protection/>
    </xf>
    <xf numFmtId="10" fontId="3" fillId="0" borderId="0" xfId="150" applyNumberFormat="1" applyFont="1" applyFill="1" applyAlignment="1" applyProtection="1">
      <alignment/>
      <protection/>
    </xf>
    <xf numFmtId="169" fontId="21" fillId="0" borderId="0" xfId="150"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50" applyNumberFormat="1" applyFont="1" applyFill="1" applyBorder="1" applyAlignment="1" applyProtection="1">
      <alignment/>
      <protection/>
    </xf>
    <xf numFmtId="3" fontId="3" fillId="0" borderId="0" xfId="150" applyNumberFormat="1" applyFont="1" applyAlignment="1" applyProtection="1" quotePrefix="1">
      <alignment/>
      <protection/>
    </xf>
    <xf numFmtId="169" fontId="3" fillId="0" borderId="0" xfId="150" applyNumberFormat="1" applyFont="1" applyFill="1" applyBorder="1" applyAlignment="1" applyProtection="1">
      <alignment/>
      <protection/>
    </xf>
    <xf numFmtId="169" fontId="3" fillId="0" borderId="6" xfId="150"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50" applyNumberFormat="1" applyFont="1" applyFill="1" applyAlignment="1" applyProtection="1">
      <alignment/>
      <protection/>
    </xf>
    <xf numFmtId="3" fontId="4" fillId="0" borderId="0" xfId="150" applyNumberFormat="1" applyFont="1" applyAlignment="1" applyProtection="1" quotePrefix="1">
      <alignment/>
      <protection/>
    </xf>
    <xf numFmtId="172" fontId="3" fillId="0" borderId="0" xfId="150" applyFont="1" applyAlignment="1" applyProtection="1">
      <alignment horizontal="right"/>
      <protection/>
    </xf>
    <xf numFmtId="172" fontId="3" fillId="0" borderId="0" xfId="150" applyNumberFormat="1" applyFont="1" applyAlignment="1" applyProtection="1">
      <alignment/>
      <protection/>
    </xf>
    <xf numFmtId="172" fontId="10" fillId="0" borderId="0" xfId="150" applyFont="1" applyAlignment="1" applyProtection="1">
      <alignment horizontal="center"/>
      <protection/>
    </xf>
    <xf numFmtId="172" fontId="1" fillId="0" borderId="0" xfId="150" applyFont="1" applyFill="1" applyAlignment="1" applyProtection="1">
      <alignment horizontal="center"/>
      <protection/>
    </xf>
    <xf numFmtId="172" fontId="1" fillId="0" borderId="0" xfId="150" applyFont="1" applyFill="1" applyAlignment="1" applyProtection="1">
      <alignment/>
      <protection/>
    </xf>
    <xf numFmtId="10" fontId="3" fillId="0" borderId="0" xfId="150"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50" applyNumberFormat="1" applyFont="1" applyFill="1" applyAlignment="1" applyProtection="1">
      <alignment/>
      <protection/>
    </xf>
    <xf numFmtId="0" fontId="3" fillId="0" borderId="0" xfId="150" applyNumberFormat="1" applyFont="1" applyFill="1" applyAlignment="1" applyProtection="1">
      <alignment/>
      <protection/>
    </xf>
    <xf numFmtId="0" fontId="3" fillId="0" borderId="0" xfId="150" applyNumberFormat="1" applyFont="1" applyFill="1" applyProtection="1">
      <alignment/>
      <protection/>
    </xf>
    <xf numFmtId="172" fontId="3" fillId="0" borderId="0" xfId="150" applyFont="1" applyFill="1" applyAlignment="1" applyProtection="1">
      <alignment/>
      <protection/>
    </xf>
    <xf numFmtId="0" fontId="3" fillId="0" borderId="0" xfId="0" applyFont="1" applyAlignment="1" applyProtection="1">
      <alignment vertical="top" wrapText="1"/>
      <protection/>
    </xf>
    <xf numFmtId="172" fontId="3" fillId="0" borderId="0" xfId="150" applyFont="1" applyFill="1" applyAlignment="1" applyProtection="1">
      <alignment wrapText="1"/>
      <protection/>
    </xf>
    <xf numFmtId="172" fontId="3" fillId="0" borderId="0" xfId="150" applyFont="1" applyFill="1" applyAlignment="1" applyProtection="1">
      <alignment/>
      <protection/>
    </xf>
    <xf numFmtId="0" fontId="1" fillId="0" borderId="0" xfId="150" applyNumberFormat="1" applyFont="1" applyFill="1" applyProtection="1">
      <alignment/>
      <protection/>
    </xf>
    <xf numFmtId="0" fontId="82" fillId="0" borderId="0" xfId="150" applyNumberFormat="1" applyFont="1" applyFill="1" applyAlignment="1" applyProtection="1">
      <alignment horizontal="center"/>
      <protection/>
    </xf>
    <xf numFmtId="0" fontId="0" fillId="0" borderId="0" xfId="0" applyAlignment="1" applyProtection="1">
      <alignment wrapText="1"/>
      <protection/>
    </xf>
    <xf numFmtId="166" fontId="3" fillId="0" borderId="0" xfId="150" applyNumberFormat="1" applyFont="1" applyFill="1" applyProtection="1">
      <alignment/>
      <protection/>
    </xf>
    <xf numFmtId="1" fontId="3" fillId="0" borderId="0" xfId="150" applyNumberFormat="1" applyFont="1" applyFill="1" applyProtection="1">
      <alignment/>
      <protection/>
    </xf>
    <xf numFmtId="0" fontId="3" fillId="0" borderId="0" xfId="0" applyFont="1" applyAlignment="1" applyProtection="1">
      <alignment horizontal="center"/>
      <protection/>
    </xf>
    <xf numFmtId="0" fontId="3" fillId="0" borderId="0" xfId="134" applyFont="1" applyBorder="1" applyAlignment="1" applyProtection="1">
      <alignment horizontal="center"/>
      <protection/>
    </xf>
    <xf numFmtId="49" fontId="3" fillId="0" borderId="0" xfId="14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173" fontId="0" fillId="0" borderId="11" xfId="0" applyNumberFormat="1" applyBorder="1" applyAlignment="1" applyProtection="1">
      <alignmen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5"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3"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8" borderId="14" xfId="85"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4" applyFont="1" applyProtection="1">
      <alignment/>
      <protection/>
    </xf>
    <xf numFmtId="0" fontId="1" fillId="0" borderId="0" xfId="154" applyFont="1" applyAlignment="1" applyProtection="1">
      <alignment horizontal="right"/>
      <protection/>
    </xf>
    <xf numFmtId="0" fontId="10" fillId="0" borderId="0" xfId="154" applyFont="1" applyAlignment="1" applyProtection="1">
      <alignment horizontal="center"/>
      <protection/>
    </xf>
    <xf numFmtId="0" fontId="3" fillId="0" borderId="0" xfId="0" applyFont="1" applyAlignment="1" applyProtection="1">
      <alignment/>
      <protection/>
    </xf>
    <xf numFmtId="0" fontId="3" fillId="0" borderId="0" xfId="154" applyFont="1" applyProtection="1">
      <alignment/>
      <protection/>
    </xf>
    <xf numFmtId="0" fontId="76" fillId="0" borderId="0" xfId="154" applyFont="1" applyProtection="1">
      <alignment/>
      <protection/>
    </xf>
    <xf numFmtId="0" fontId="3" fillId="0" borderId="0" xfId="0" applyFont="1" applyAlignment="1" applyProtection="1">
      <alignment horizontal="center"/>
      <protection/>
    </xf>
    <xf numFmtId="0" fontId="10" fillId="0" borderId="0" xfId="154"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4" applyFont="1" applyFill="1" applyProtection="1">
      <alignment/>
      <protection/>
    </xf>
    <xf numFmtId="0" fontId="3" fillId="0" borderId="0" xfId="154" applyFont="1" applyAlignment="1" applyProtection="1">
      <alignment horizontal="center"/>
      <protection/>
    </xf>
    <xf numFmtId="0" fontId="9" fillId="0" borderId="0" xfId="154" applyFont="1" applyFill="1" applyAlignment="1" applyProtection="1">
      <alignment horizontal="center"/>
      <protection/>
    </xf>
    <xf numFmtId="0" fontId="9" fillId="0" borderId="0" xfId="154" applyFont="1" applyFill="1" applyProtection="1">
      <alignment/>
      <protection/>
    </xf>
    <xf numFmtId="0" fontId="0" fillId="0" borderId="0" xfId="154" applyFont="1" applyProtection="1">
      <alignment/>
      <protection/>
    </xf>
    <xf numFmtId="173" fontId="0" fillId="0" borderId="0" xfId="154"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4" applyFont="1" applyFill="1" applyAlignment="1" applyProtection="1">
      <alignment horizontal="center"/>
      <protection/>
    </xf>
    <xf numFmtId="0" fontId="9" fillId="0" borderId="0" xfId="154" applyFont="1" applyFill="1" applyProtection="1">
      <alignment/>
      <protection/>
    </xf>
    <xf numFmtId="0" fontId="0" fillId="0" borderId="0" xfId="0" applyFont="1" applyAlignment="1" applyProtection="1">
      <alignment/>
      <protection/>
    </xf>
    <xf numFmtId="0" fontId="0" fillId="0" borderId="0" xfId="154" applyFont="1" applyProtection="1">
      <alignment/>
      <protection/>
    </xf>
    <xf numFmtId="172" fontId="0" fillId="0" borderId="0" xfId="154" applyNumberFormat="1" applyFont="1" applyFill="1" applyAlignment="1" applyProtection="1">
      <alignment horizontal="center"/>
      <protection/>
    </xf>
    <xf numFmtId="0" fontId="0" fillId="0" borderId="0" xfId="154" applyFont="1" applyFill="1" applyProtection="1">
      <alignment/>
      <protection/>
    </xf>
    <xf numFmtId="0" fontId="9" fillId="0" borderId="0" xfId="154" applyFont="1" applyProtection="1">
      <alignment/>
      <protection/>
    </xf>
    <xf numFmtId="0" fontId="9" fillId="0" borderId="0" xfId="154" applyFont="1" applyProtection="1">
      <alignment/>
      <protection/>
    </xf>
    <xf numFmtId="43" fontId="0" fillId="0" borderId="0" xfId="83" applyFont="1" applyFill="1" applyAlignment="1" applyProtection="1">
      <alignment/>
      <protection/>
    </xf>
    <xf numFmtId="43" fontId="0" fillId="0" borderId="0" xfId="83"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154" applyNumberFormat="1" applyFont="1" applyProtection="1">
      <alignment/>
      <protection/>
    </xf>
    <xf numFmtId="173" fontId="0" fillId="0" borderId="0" xfId="154" applyNumberFormat="1" applyFont="1" applyBorder="1" applyProtection="1">
      <alignment/>
      <protection/>
    </xf>
    <xf numFmtId="173" fontId="0" fillId="0" borderId="13" xfId="154" applyNumberFormat="1" applyFont="1" applyBorder="1" applyProtection="1">
      <alignment/>
      <protection/>
    </xf>
    <xf numFmtId="0" fontId="3" fillId="0" borderId="0" xfId="154" applyFont="1" applyFill="1" applyProtection="1">
      <alignment/>
      <protection/>
    </xf>
    <xf numFmtId="173" fontId="3" fillId="0" borderId="0" xfId="154"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50" applyNumberFormat="1" applyFont="1" applyFill="1" applyBorder="1" applyAlignment="1" applyProtection="1">
      <alignment/>
      <protection/>
    </xf>
    <xf numFmtId="3" fontId="0" fillId="0" borderId="0" xfId="150" applyNumberFormat="1" applyFont="1" applyAlignment="1" applyProtection="1">
      <alignment/>
      <protection/>
    </xf>
    <xf numFmtId="10" fontId="0" fillId="0" borderId="0" xfId="157" applyNumberFormat="1" applyAlignment="1" applyProtection="1">
      <alignment horizontal="right"/>
      <protection/>
    </xf>
    <xf numFmtId="172" fontId="0" fillId="0" borderId="0" xfId="150" applyFont="1" applyAlignment="1" applyProtection="1">
      <alignment/>
      <protection/>
    </xf>
    <xf numFmtId="172" fontId="0" fillId="0" borderId="0" xfId="150" applyFont="1" applyBorder="1" applyAlignment="1" applyProtection="1">
      <alignment/>
      <protection/>
    </xf>
    <xf numFmtId="3" fontId="0" fillId="0" borderId="0" xfId="150" applyNumberFormat="1" applyFont="1" applyFill="1" applyAlignment="1" applyProtection="1">
      <alignment/>
      <protection/>
    </xf>
    <xf numFmtId="10" fontId="0" fillId="0" borderId="0" xfId="157" applyNumberFormat="1" applyFont="1" applyFill="1" applyAlignment="1" applyProtection="1">
      <alignment horizontal="right"/>
      <protection/>
    </xf>
    <xf numFmtId="3" fontId="9" fillId="0" borderId="0" xfId="150" applyNumberFormat="1" applyFont="1" applyAlignment="1" applyProtection="1">
      <alignment/>
      <protection/>
    </xf>
    <xf numFmtId="10" fontId="0" fillId="0" borderId="0" xfId="150" applyNumberFormat="1" applyFont="1" applyFill="1" applyAlignment="1" applyProtection="1">
      <alignment horizontal="right"/>
      <protection/>
    </xf>
    <xf numFmtId="3" fontId="12" fillId="0" borderId="0" xfId="150" applyNumberFormat="1" applyFont="1" applyAlignment="1" applyProtection="1">
      <alignment horizontal="center"/>
      <protection/>
    </xf>
    <xf numFmtId="10" fontId="12" fillId="0" borderId="0" xfId="150" applyNumberFormat="1" applyFont="1" applyFill="1" applyAlignment="1" applyProtection="1">
      <alignment horizontal="center"/>
      <protection/>
    </xf>
    <xf numFmtId="0" fontId="0" fillId="0" borderId="0" xfId="150"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57" applyNumberFormat="1" applyFont="1" applyAlignment="1" applyProtection="1">
      <alignment/>
      <protection/>
    </xf>
    <xf numFmtId="166" fontId="0" fillId="0" borderId="0" xfId="150" applyNumberFormat="1" applyFont="1" applyAlignment="1" applyProtection="1">
      <alignment horizontal="center"/>
      <protection/>
    </xf>
    <xf numFmtId="166" fontId="0" fillId="0" borderId="0" xfId="150" applyNumberFormat="1" applyFont="1" applyBorder="1" applyAlignment="1" applyProtection="1">
      <alignment horizontal="center"/>
      <protection/>
    </xf>
    <xf numFmtId="41" fontId="0" fillId="0" borderId="0" xfId="150" applyNumberFormat="1" applyFont="1" applyAlignment="1" applyProtection="1">
      <alignment/>
      <protection/>
    </xf>
    <xf numFmtId="41" fontId="0" fillId="0" borderId="0" xfId="150" applyNumberFormat="1" applyFont="1" applyAlignment="1" applyProtection="1">
      <alignment horizontal="center"/>
      <protection/>
    </xf>
    <xf numFmtId="41" fontId="0" fillId="0" borderId="0" xfId="150" applyNumberFormat="1" applyFont="1" applyBorder="1" applyAlignment="1" applyProtection="1">
      <alignment horizontal="center"/>
      <protection/>
    </xf>
    <xf numFmtId="0" fontId="0" fillId="0" borderId="0" xfId="150" applyNumberFormat="1" applyFont="1" applyBorder="1" applyAlignment="1" applyProtection="1">
      <alignment horizontal="right"/>
      <protection/>
    </xf>
    <xf numFmtId="164" fontId="12" fillId="0" borderId="0" xfId="157" applyNumberFormat="1" applyFont="1" applyAlignment="1" applyProtection="1">
      <alignment/>
      <protection/>
    </xf>
    <xf numFmtId="0" fontId="0" fillId="0" borderId="0" xfId="150" applyNumberFormat="1" applyFont="1" applyBorder="1" applyAlignment="1" applyProtection="1">
      <alignment/>
      <protection/>
    </xf>
    <xf numFmtId="3" fontId="0" fillId="0" borderId="0" xfId="150" applyNumberFormat="1" applyFont="1" applyAlignment="1" applyProtection="1">
      <alignment horizontal="right"/>
      <protection/>
    </xf>
    <xf numFmtId="172" fontId="0" fillId="0" borderId="19" xfId="150" applyFont="1" applyBorder="1" applyAlignment="1" applyProtection="1">
      <alignment/>
      <protection/>
    </xf>
    <xf numFmtId="0" fontId="0" fillId="0" borderId="0" xfId="150" applyNumberFormat="1" applyFont="1" applyBorder="1" applyAlignment="1" applyProtection="1">
      <alignment horizontal="center"/>
      <protection/>
    </xf>
    <xf numFmtId="172" fontId="0" fillId="0" borderId="0" xfId="150" applyFont="1" applyBorder="1" applyAlignment="1" applyProtection="1">
      <alignment/>
      <protection/>
    </xf>
    <xf numFmtId="3" fontId="0" fillId="0" borderId="20" xfId="150" applyNumberFormat="1" applyFont="1" applyBorder="1" applyAlignment="1" applyProtection="1">
      <alignment/>
      <protection/>
    </xf>
    <xf numFmtId="10" fontId="0" fillId="0" borderId="0" xfId="150" applyNumberFormat="1" applyFont="1" applyFill="1" applyAlignment="1" applyProtection="1">
      <alignment horizontal="left"/>
      <protection/>
    </xf>
    <xf numFmtId="41" fontId="0" fillId="0" borderId="0" xfId="150"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50" applyNumberFormat="1" applyFont="1" applyFill="1" applyAlignment="1" applyProtection="1">
      <alignment/>
      <protection/>
    </xf>
    <xf numFmtId="166" fontId="0" fillId="0" borderId="21" xfId="150" applyNumberFormat="1" applyFont="1" applyBorder="1" applyAlignment="1" applyProtection="1">
      <alignment horizontal="center"/>
      <protection/>
    </xf>
    <xf numFmtId="0" fontId="0" fillId="0" borderId="6" xfId="150"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50" applyNumberFormat="1" applyFont="1" applyBorder="1" applyAlignment="1" applyProtection="1">
      <alignment/>
      <protection/>
    </xf>
    <xf numFmtId="0" fontId="0" fillId="26" borderId="0" xfId="150" applyNumberFormat="1" applyFont="1" applyFill="1" applyBorder="1" applyAlignment="1" applyProtection="1">
      <alignment/>
      <protection/>
    </xf>
    <xf numFmtId="41" fontId="0" fillId="0" borderId="0" xfId="150" applyNumberFormat="1" applyFont="1" applyFill="1" applyAlignment="1" applyProtection="1">
      <alignment horizontal="left"/>
      <protection/>
    </xf>
    <xf numFmtId="41" fontId="0" fillId="0" borderId="0" xfId="150" applyNumberFormat="1" applyFont="1" applyFill="1" applyBorder="1" applyAlignment="1" applyProtection="1">
      <alignment horizontal="right"/>
      <protection/>
    </xf>
    <xf numFmtId="167" fontId="0" fillId="0" borderId="0" xfId="150" applyNumberFormat="1" applyFont="1" applyAlignment="1" applyProtection="1">
      <alignment/>
      <protection/>
    </xf>
    <xf numFmtId="164" fontId="0" fillId="0" borderId="0" xfId="150" applyNumberFormat="1" applyFont="1" applyFill="1" applyBorder="1" applyAlignment="1" applyProtection="1">
      <alignment horizontal="left"/>
      <protection/>
    </xf>
    <xf numFmtId="164" fontId="0" fillId="0" borderId="0" xfId="150" applyNumberFormat="1" applyFont="1" applyBorder="1" applyAlignment="1" applyProtection="1">
      <alignment horizontal="left"/>
      <protection/>
    </xf>
    <xf numFmtId="3" fontId="0" fillId="0" borderId="0" xfId="150" applyNumberFormat="1" applyFont="1" applyAlignment="1" applyProtection="1">
      <alignment vertical="center" wrapText="1"/>
      <protection/>
    </xf>
    <xf numFmtId="41" fontId="0" fillId="0" borderId="0" xfId="150" applyNumberFormat="1" applyFont="1" applyBorder="1" applyAlignment="1" applyProtection="1">
      <alignment vertical="center"/>
      <protection/>
    </xf>
    <xf numFmtId="41" fontId="0" fillId="0" borderId="0" xfId="150" applyNumberFormat="1" applyFont="1" applyBorder="1" applyAlignment="1" applyProtection="1">
      <alignment horizontal="center" vertical="center"/>
      <protection/>
    </xf>
    <xf numFmtId="41" fontId="0" fillId="0" borderId="0" xfId="150"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50" applyNumberFormat="1" applyFont="1" applyFill="1" applyBorder="1" applyAlignment="1" applyProtection="1">
      <alignment/>
      <protection/>
    </xf>
    <xf numFmtId="41" fontId="0" fillId="0" borderId="11" xfId="150" applyNumberFormat="1" applyFont="1" applyFill="1" applyBorder="1" applyAlignment="1" applyProtection="1">
      <alignment/>
      <protection/>
    </xf>
    <xf numFmtId="3" fontId="0" fillId="0" borderId="0" xfId="150" applyNumberFormat="1" applyFont="1" applyFill="1" applyBorder="1" applyAlignment="1" applyProtection="1">
      <alignment/>
      <protection/>
    </xf>
    <xf numFmtId="41" fontId="0" fillId="0" borderId="0" xfId="150" applyNumberFormat="1" applyFont="1" applyFill="1" applyBorder="1" applyAlignment="1" applyProtection="1">
      <alignment horizontal="center"/>
      <protection/>
    </xf>
    <xf numFmtId="0" fontId="0" fillId="0" borderId="0" xfId="150" applyNumberFormat="1" applyFont="1" applyFill="1" applyBorder="1" applyProtection="1">
      <alignment/>
      <protection/>
    </xf>
    <xf numFmtId="41" fontId="12" fillId="0" borderId="0" xfId="150" applyNumberFormat="1" applyFont="1" applyFill="1" applyBorder="1" applyAlignment="1" applyProtection="1">
      <alignment/>
      <protection/>
    </xf>
    <xf numFmtId="3" fontId="0" fillId="0" borderId="0" xfId="15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50" applyNumberFormat="1" applyFont="1" applyFill="1" applyBorder="1" applyAlignment="1" applyProtection="1">
      <alignment horizontal="center"/>
      <protection/>
    </xf>
    <xf numFmtId="10" fontId="0" fillId="0" borderId="0" xfId="150" applyNumberFormat="1" applyFont="1" applyFill="1" applyBorder="1" applyAlignment="1" applyProtection="1">
      <alignment/>
      <protection/>
    </xf>
    <xf numFmtId="169" fontId="0" fillId="0" borderId="0" xfId="150" applyNumberFormat="1" applyFont="1" applyFill="1" applyBorder="1" applyAlignment="1" applyProtection="1">
      <alignment/>
      <protection/>
    </xf>
    <xf numFmtId="172" fontId="0" fillId="0" borderId="0" xfId="150" applyFont="1" applyFill="1" applyBorder="1" applyAlignment="1" applyProtection="1">
      <alignment/>
      <protection/>
    </xf>
    <xf numFmtId="169" fontId="9" fillId="0" borderId="0" xfId="150"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57" applyNumberFormat="1" applyFont="1" applyAlignment="1" applyProtection="1">
      <alignment horizontal="right"/>
      <protection/>
    </xf>
    <xf numFmtId="172" fontId="0" fillId="0" borderId="23" xfId="150" applyFont="1" applyBorder="1" applyAlignment="1" applyProtection="1">
      <alignment/>
      <protection/>
    </xf>
    <xf numFmtId="172" fontId="0" fillId="0" borderId="15" xfId="150" applyFont="1" applyBorder="1" applyAlignment="1" applyProtection="1">
      <alignment/>
      <protection/>
    </xf>
    <xf numFmtId="3" fontId="0" fillId="0" borderId="24" xfId="150" applyNumberFormat="1" applyFont="1" applyBorder="1" applyAlignment="1" applyProtection="1">
      <alignment/>
      <protection/>
    </xf>
    <xf numFmtId="172" fontId="0" fillId="0" borderId="19" xfId="150" applyFont="1" applyBorder="1" applyAlignment="1" applyProtection="1">
      <alignment/>
      <protection/>
    </xf>
    <xf numFmtId="3" fontId="0" fillId="0" borderId="20" xfId="150" applyNumberFormat="1" applyFont="1" applyBorder="1" applyAlignment="1" applyProtection="1">
      <alignment/>
      <protection/>
    </xf>
    <xf numFmtId="0" fontId="0" fillId="0" borderId="0" xfId="150"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50" applyNumberFormat="1" applyFont="1" applyBorder="1" applyAlignment="1" applyProtection="1">
      <alignment horizontal="center"/>
      <protection/>
    </xf>
    <xf numFmtId="0" fontId="0" fillId="0" borderId="6" xfId="150" applyNumberFormat="1" applyFont="1" applyBorder="1" applyAlignment="1" applyProtection="1">
      <alignment horizontal="center"/>
      <protection/>
    </xf>
    <xf numFmtId="173" fontId="0" fillId="0" borderId="6" xfId="150" applyNumberFormat="1" applyFont="1" applyBorder="1" applyAlignment="1" applyProtection="1" quotePrefix="1">
      <alignment horizontal="center"/>
      <protection/>
    </xf>
    <xf numFmtId="41" fontId="0" fillId="0" borderId="0" xfId="150" applyNumberFormat="1" applyFont="1" applyFill="1" applyBorder="1" applyAlignment="1" applyProtection="1">
      <alignment horizontal="right"/>
      <protection/>
    </xf>
    <xf numFmtId="10" fontId="0" fillId="0" borderId="0" xfId="157"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14" fillId="0" borderId="0" xfId="147" applyFont="1" applyFill="1" applyProtection="1">
      <alignment/>
      <protection/>
    </xf>
    <xf numFmtId="0" fontId="14" fillId="0" borderId="0" xfId="147"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4"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47" applyFont="1" applyFill="1" applyAlignment="1" applyProtection="1">
      <alignment horizontal="center"/>
      <protection/>
    </xf>
    <xf numFmtId="193" fontId="16" fillId="0" borderId="0" xfId="134"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47" applyFont="1" applyFill="1" applyProtection="1">
      <alignment/>
      <protection/>
    </xf>
    <xf numFmtId="0" fontId="14" fillId="0" borderId="0" xfId="147" applyFont="1" applyFill="1" applyAlignment="1" applyProtection="1">
      <alignment horizontal="left"/>
      <protection/>
    </xf>
    <xf numFmtId="0" fontId="9" fillId="0" borderId="0" xfId="147"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50" applyNumberFormat="1" applyFont="1" applyFill="1" applyBorder="1" applyAlignment="1" applyProtection="1">
      <alignment/>
      <protection/>
    </xf>
    <xf numFmtId="3" fontId="9" fillId="0" borderId="0" xfId="150" applyNumberFormat="1" applyFont="1" applyFill="1" applyAlignment="1" applyProtection="1">
      <alignment/>
      <protection/>
    </xf>
    <xf numFmtId="41" fontId="9" fillId="0" borderId="0" xfId="150" applyNumberFormat="1" applyFont="1" applyFill="1" applyAlignment="1" applyProtection="1">
      <alignment/>
      <protection/>
    </xf>
    <xf numFmtId="0" fontId="74" fillId="0" borderId="0" xfId="147" applyFont="1" applyFill="1" applyBorder="1" applyAlignment="1" applyProtection="1">
      <alignment horizontal="left"/>
      <protection/>
    </xf>
    <xf numFmtId="0" fontId="0" fillId="0" borderId="0" xfId="147" applyFont="1" applyFill="1" applyProtection="1">
      <alignment/>
      <protection/>
    </xf>
    <xf numFmtId="0" fontId="0" fillId="0" borderId="0" xfId="147" applyFill="1" applyProtection="1">
      <alignment/>
      <protection/>
    </xf>
    <xf numFmtId="0" fontId="9" fillId="0" borderId="0" xfId="147" applyFont="1" applyFill="1" applyAlignment="1" applyProtection="1">
      <alignment horizontal="center"/>
      <protection/>
    </xf>
    <xf numFmtId="0" fontId="0" fillId="0" borderId="0" xfId="147" applyFont="1" applyFill="1" applyAlignment="1" applyProtection="1">
      <alignment horizontal="left"/>
      <protection/>
    </xf>
    <xf numFmtId="0" fontId="0" fillId="0" borderId="0" xfId="147"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47"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50" applyNumberFormat="1" applyFont="1" applyFill="1" applyBorder="1" applyAlignment="1" applyProtection="1">
      <alignment vertical="center" wrapText="1"/>
      <protection/>
    </xf>
    <xf numFmtId="0" fontId="0" fillId="0" borderId="0" xfId="147" applyFont="1" applyFill="1" applyProtection="1">
      <alignment/>
      <protection/>
    </xf>
    <xf numFmtId="10" fontId="0" fillId="0" borderId="0" xfId="157" applyNumberFormat="1" applyFont="1" applyFill="1" applyBorder="1" applyAlignment="1" applyProtection="1">
      <alignment/>
      <protection/>
    </xf>
    <xf numFmtId="10" fontId="9" fillId="0" borderId="0" xfId="157" applyNumberFormat="1" applyFont="1" applyFill="1" applyBorder="1" applyAlignment="1" applyProtection="1">
      <alignment/>
      <protection/>
    </xf>
    <xf numFmtId="173" fontId="9" fillId="0" borderId="0" xfId="157" applyNumberFormat="1" applyFont="1" applyFill="1" applyBorder="1" applyAlignment="1" applyProtection="1">
      <alignment/>
      <protection/>
    </xf>
    <xf numFmtId="173" fontId="0" fillId="0" borderId="0" xfId="157" applyNumberFormat="1" applyFont="1" applyFill="1" applyBorder="1" applyAlignment="1" applyProtection="1">
      <alignment/>
      <protection/>
    </xf>
    <xf numFmtId="10" fontId="9" fillId="0" borderId="16" xfId="157" applyNumberFormat="1" applyFont="1" applyFill="1" applyBorder="1" applyAlignment="1" applyProtection="1">
      <alignment/>
      <protection/>
    </xf>
    <xf numFmtId="0" fontId="97" fillId="0" borderId="0" xfId="0" applyFont="1" applyAlignment="1" applyProtection="1">
      <alignment/>
      <protection/>
    </xf>
    <xf numFmtId="0" fontId="9" fillId="0" borderId="0" xfId="150"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50"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47" applyNumberFormat="1" applyFont="1" applyFill="1" applyBorder="1" applyAlignment="1" applyProtection="1">
      <alignment horizontal="center" wrapText="1"/>
      <protection/>
    </xf>
    <xf numFmtId="0" fontId="9" fillId="0" borderId="0" xfId="147" applyFont="1" applyFill="1" applyAlignment="1" applyProtection="1">
      <alignment horizontal="center" wrapText="1"/>
      <protection/>
    </xf>
    <xf numFmtId="173" fontId="14" fillId="0" borderId="0" xfId="147" applyNumberFormat="1" applyFont="1" applyFill="1" applyProtection="1">
      <alignment/>
      <protection/>
    </xf>
    <xf numFmtId="0" fontId="0" fillId="0" borderId="11" xfId="0" applyFont="1" applyBorder="1" applyAlignment="1" applyProtection="1">
      <alignment/>
      <protection/>
    </xf>
    <xf numFmtId="0" fontId="14" fillId="0" borderId="11" xfId="147" applyFont="1" applyFill="1" applyBorder="1" applyProtection="1">
      <alignment/>
      <protection/>
    </xf>
    <xf numFmtId="0" fontId="0" fillId="0" borderId="0" xfId="147" applyFont="1" applyFill="1" applyAlignment="1" applyProtection="1">
      <alignment horizontal="left"/>
      <protection/>
    </xf>
    <xf numFmtId="173" fontId="0" fillId="0" borderId="0" xfId="157" applyNumberFormat="1" applyFont="1" applyFill="1" applyBorder="1" applyAlignment="1" applyProtection="1">
      <alignment/>
      <protection/>
    </xf>
    <xf numFmtId="0" fontId="0" fillId="26" borderId="0" xfId="147" applyFont="1" applyFill="1" applyAlignment="1" applyProtection="1">
      <alignment horizontal="left"/>
      <protection/>
    </xf>
    <xf numFmtId="10" fontId="0" fillId="0" borderId="0" xfId="157" applyNumberFormat="1" applyFont="1" applyFill="1" applyBorder="1" applyAlignment="1" applyProtection="1">
      <alignment/>
      <protection/>
    </xf>
    <xf numFmtId="0" fontId="0" fillId="0" borderId="0" xfId="147" applyFont="1" applyFill="1" applyProtection="1">
      <alignment/>
      <protection/>
    </xf>
    <xf numFmtId="41" fontId="0" fillId="0" borderId="0" xfId="157" applyNumberFormat="1" applyFont="1" applyFill="1" applyBorder="1" applyAlignment="1" applyProtection="1">
      <alignment/>
      <protection/>
    </xf>
    <xf numFmtId="173" fontId="14" fillId="0" borderId="0" xfId="147" applyNumberFormat="1" applyFont="1" applyProtection="1">
      <alignment/>
      <protection/>
    </xf>
    <xf numFmtId="187" fontId="0" fillId="0" borderId="0" xfId="73" applyNumberFormat="1" applyFont="1" applyFill="1" applyBorder="1" applyAlignment="1" applyProtection="1">
      <alignment/>
      <protection/>
    </xf>
    <xf numFmtId="10" fontId="14" fillId="0" borderId="0" xfId="157"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47" applyFont="1" applyFill="1" applyAlignment="1" applyProtection="1">
      <alignment horizontal="left"/>
      <protection/>
    </xf>
    <xf numFmtId="10" fontId="0" fillId="0" borderId="0" xfId="157" applyNumberFormat="1" applyFont="1" applyFill="1" applyBorder="1" applyAlignment="1" applyProtection="1">
      <alignment/>
      <protection/>
    </xf>
    <xf numFmtId="0" fontId="0" fillId="0" borderId="0" xfId="147" applyFont="1" applyFill="1" applyProtection="1">
      <alignment/>
      <protection/>
    </xf>
    <xf numFmtId="173" fontId="9" fillId="0" borderId="16" xfId="73" applyNumberFormat="1" applyFont="1" applyFill="1" applyBorder="1" applyAlignment="1" applyProtection="1">
      <alignment/>
      <protection/>
    </xf>
    <xf numFmtId="0" fontId="0" fillId="0" borderId="0" xfId="147" applyFont="1" applyFill="1" applyAlignment="1" applyProtection="1">
      <alignment horizontal="left"/>
      <protection/>
    </xf>
    <xf numFmtId="0" fontId="88" fillId="0" borderId="0" xfId="147" applyFont="1" applyFill="1" applyAlignment="1" applyProtection="1">
      <alignment horizontal="left"/>
      <protection/>
    </xf>
    <xf numFmtId="0" fontId="16" fillId="0" borderId="0" xfId="147" applyFont="1" applyFill="1" applyAlignment="1" applyProtection="1">
      <alignment horizontal="left"/>
      <protection/>
    </xf>
    <xf numFmtId="0" fontId="16" fillId="0" borderId="0" xfId="147" applyFont="1" applyFill="1" applyAlignment="1" applyProtection="1">
      <alignment horizontal="center" wrapText="1"/>
      <protection/>
    </xf>
    <xf numFmtId="41" fontId="8" fillId="0" borderId="0" xfId="147" applyNumberFormat="1" applyFont="1" applyFill="1" applyBorder="1" applyProtection="1">
      <alignment/>
      <protection/>
    </xf>
    <xf numFmtId="173" fontId="0" fillId="0" borderId="0" xfId="73" applyNumberFormat="1" applyFill="1" applyAlignment="1" applyProtection="1">
      <alignment/>
      <protection/>
    </xf>
    <xf numFmtId="41" fontId="0" fillId="0" borderId="0" xfId="147" applyNumberFormat="1" applyFill="1" applyBorder="1" applyProtection="1">
      <alignment/>
      <protection/>
    </xf>
    <xf numFmtId="41" fontId="89" fillId="0" borderId="0" xfId="147" applyNumberFormat="1" applyFont="1" applyFill="1" applyProtection="1">
      <alignment/>
      <protection/>
    </xf>
    <xf numFmtId="41" fontId="0" fillId="0" borderId="12" xfId="147" applyNumberFormat="1" applyFont="1" applyFill="1" applyBorder="1" applyProtection="1">
      <alignment/>
      <protection/>
    </xf>
    <xf numFmtId="41" fontId="9" fillId="0" borderId="32" xfId="147" applyNumberFormat="1" applyFont="1" applyFill="1" applyBorder="1" applyProtection="1">
      <alignment/>
      <protection/>
    </xf>
    <xf numFmtId="0" fontId="9" fillId="0" borderId="0" xfId="147" applyFont="1" applyFill="1" applyBorder="1" applyProtection="1">
      <alignment/>
      <protection/>
    </xf>
    <xf numFmtId="10" fontId="0" fillId="0" borderId="0" xfId="157" applyNumberFormat="1" applyFont="1" applyFill="1" applyBorder="1" applyAlignment="1" applyProtection="1">
      <alignment/>
      <protection/>
    </xf>
    <xf numFmtId="0" fontId="1" fillId="0" borderId="0" xfId="153" applyProtection="1">
      <alignment/>
      <protection/>
    </xf>
    <xf numFmtId="176" fontId="1" fillId="0" borderId="0" xfId="153" applyNumberFormat="1" applyProtection="1">
      <alignment/>
      <protection/>
    </xf>
    <xf numFmtId="0" fontId="102" fillId="0" borderId="0" xfId="153" applyFont="1" applyProtection="1">
      <alignment/>
      <protection/>
    </xf>
    <xf numFmtId="0" fontId="103" fillId="0" borderId="0" xfId="153" applyFont="1" applyAlignment="1" applyProtection="1">
      <alignment horizontal="center"/>
      <protection/>
    </xf>
    <xf numFmtId="0" fontId="116" fillId="0" borderId="0" xfId="153" applyFont="1" applyAlignment="1" applyProtection="1">
      <alignment horizontal="center"/>
      <protection/>
    </xf>
    <xf numFmtId="0" fontId="104" fillId="0" borderId="0" xfId="153" applyFont="1" applyProtection="1">
      <alignment/>
      <protection/>
    </xf>
    <xf numFmtId="0" fontId="105" fillId="0" borderId="17" xfId="153" applyFont="1" applyBorder="1" applyProtection="1">
      <alignment/>
      <protection/>
    </xf>
    <xf numFmtId="0" fontId="102" fillId="0" borderId="17" xfId="153" applyFont="1" applyBorder="1" applyProtection="1">
      <alignment/>
      <protection/>
    </xf>
    <xf numFmtId="0" fontId="105" fillId="0" borderId="0" xfId="153" applyFont="1" applyBorder="1" applyProtection="1">
      <alignment/>
      <protection/>
    </xf>
    <xf numFmtId="0" fontId="1" fillId="0" borderId="0" xfId="153" applyAlignment="1" applyProtection="1">
      <alignment horizontal="center"/>
      <protection/>
    </xf>
    <xf numFmtId="0" fontId="1" fillId="0" borderId="0" xfId="153" applyFont="1" applyBorder="1" applyProtection="1">
      <alignment/>
      <protection/>
    </xf>
    <xf numFmtId="0" fontId="106" fillId="0" borderId="0" xfId="153" applyFont="1" applyProtection="1">
      <alignment/>
      <protection/>
    </xf>
    <xf numFmtId="0" fontId="108" fillId="0" borderId="0" xfId="153"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9" xfId="0" applyFont="1" applyFill="1" applyBorder="1" applyAlignment="1" applyProtection="1">
      <alignment horizontal="center" wrapText="1"/>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5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6"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76" applyNumberFormat="1" applyFont="1" applyFill="1" applyBorder="1" applyAlignment="1" applyProtection="1">
      <alignment/>
      <protection/>
    </xf>
    <xf numFmtId="173" fontId="112" fillId="0" borderId="0" xfId="76" applyNumberFormat="1" applyFont="1" applyFill="1" applyAlignment="1" applyProtection="1">
      <alignment/>
      <protection/>
    </xf>
    <xf numFmtId="173" fontId="112" fillId="0" borderId="0" xfId="76"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7"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7" applyNumberFormat="1" applyFont="1" applyFill="1" applyAlignment="1" applyProtection="1">
      <alignment/>
      <protection/>
    </xf>
    <xf numFmtId="173" fontId="111" fillId="0" borderId="0" xfId="120" applyNumberFormat="1" applyFont="1" applyBorder="1" applyProtection="1">
      <alignment/>
      <protection/>
    </xf>
    <xf numFmtId="43" fontId="0" fillId="0" borderId="0" xfId="120" applyNumberFormat="1" applyFont="1" applyProtection="1">
      <alignment/>
      <protection/>
    </xf>
    <xf numFmtId="43" fontId="0" fillId="0" borderId="0" xfId="120" applyNumberFormat="1" applyFont="1" applyFill="1" applyBorder="1" applyProtection="1">
      <alignment/>
      <protection/>
    </xf>
    <xf numFmtId="43" fontId="3" fillId="0" borderId="0" xfId="120" applyNumberFormat="1" applyFont="1" applyFill="1" applyBorder="1" applyProtection="1">
      <alignment/>
      <protection/>
    </xf>
    <xf numFmtId="0" fontId="18" fillId="29" borderId="0" xfId="73" applyNumberFormat="1" applyFont="1" applyFill="1" applyAlignment="1" applyProtection="1">
      <alignment/>
      <protection locked="0"/>
    </xf>
    <xf numFmtId="173" fontId="18" fillId="29" borderId="0" xfId="73" applyNumberFormat="1" applyFont="1" applyFill="1" applyAlignment="1" applyProtection="1">
      <alignment horizontal="right"/>
      <protection locked="0"/>
    </xf>
    <xf numFmtId="41" fontId="18" fillId="29" borderId="0" xfId="150" applyNumberFormat="1" applyFont="1" applyFill="1" applyAlignment="1" applyProtection="1">
      <alignment/>
      <protection locked="0"/>
    </xf>
    <xf numFmtId="41" fontId="18" fillId="29" borderId="6" xfId="150" applyNumberFormat="1" applyFont="1" applyFill="1" applyBorder="1" applyAlignment="1" applyProtection="1">
      <alignment/>
      <protection locked="0"/>
    </xf>
    <xf numFmtId="3" fontId="18" fillId="29" borderId="0" xfId="150" applyNumberFormat="1" applyFont="1" applyFill="1" applyAlignment="1" applyProtection="1">
      <alignment/>
      <protection locked="0"/>
    </xf>
    <xf numFmtId="3" fontId="18" fillId="29" borderId="6" xfId="150" applyNumberFormat="1" applyFont="1" applyFill="1" applyBorder="1" applyAlignment="1" applyProtection="1">
      <alignment/>
      <protection locked="0"/>
    </xf>
    <xf numFmtId="10" fontId="18" fillId="29" borderId="0" xfId="157" applyNumberFormat="1" applyFont="1" applyFill="1" applyAlignment="1" applyProtection="1">
      <alignment/>
      <protection locked="0"/>
    </xf>
    <xf numFmtId="173" fontId="8" fillId="29" borderId="0" xfId="77" applyNumberFormat="1" applyFont="1" applyFill="1" applyBorder="1" applyAlignment="1" applyProtection="1">
      <alignment horizontal="right"/>
      <protection locked="0"/>
    </xf>
    <xf numFmtId="0" fontId="0" fillId="29" borderId="0" xfId="134" applyFont="1" applyFill="1" applyBorder="1" applyProtection="1">
      <alignment/>
      <protection locked="0"/>
    </xf>
    <xf numFmtId="173" fontId="8" fillId="29" borderId="11" xfId="77" applyNumberFormat="1" applyFont="1" applyFill="1" applyBorder="1" applyAlignment="1" applyProtection="1">
      <alignment horizontal="right"/>
      <protection locked="0"/>
    </xf>
    <xf numFmtId="41" fontId="8" fillId="29" borderId="0" xfId="147"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7" fillId="29" borderId="0" xfId="0" applyNumberFormat="1" applyFont="1" applyFill="1" applyAlignment="1" applyProtection="1">
      <alignment/>
      <protection locked="0"/>
    </xf>
    <xf numFmtId="37" fontId="117" fillId="29" borderId="0" xfId="0" applyNumberFormat="1" applyFont="1" applyFill="1" applyAlignment="1" applyProtection="1">
      <alignment/>
      <protection locked="0"/>
    </xf>
    <xf numFmtId="0"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0" applyFont="1" applyFill="1" applyBorder="1" applyAlignment="1" applyProtection="1" quotePrefix="1">
      <alignment/>
      <protection locked="0"/>
    </xf>
    <xf numFmtId="3" fontId="58" fillId="29" borderId="0" xfId="0" applyNumberFormat="1" applyFont="1" applyFill="1" applyBorder="1" applyAlignment="1" applyProtection="1" quotePrefix="1">
      <alignment/>
      <protection locked="0"/>
    </xf>
    <xf numFmtId="0" fontId="58" fillId="29" borderId="0" xfId="0" applyFont="1" applyFill="1" applyBorder="1" applyAlignment="1" applyProtection="1">
      <alignment/>
      <protection locked="0"/>
    </xf>
    <xf numFmtId="0" fontId="58" fillId="29" borderId="0" xfId="0" applyFont="1" applyFill="1" applyBorder="1" applyAlignment="1" applyProtection="1">
      <alignment horizontal="left"/>
      <protection locked="0"/>
    </xf>
    <xf numFmtId="173" fontId="8" fillId="0" borderId="0" xfId="73" applyNumberFormat="1" applyFont="1" applyFill="1" applyAlignment="1" applyProtection="1">
      <alignment/>
      <protection/>
    </xf>
    <xf numFmtId="173" fontId="0" fillId="0" borderId="0" xfId="0" applyNumberFormat="1" applyFill="1" applyAlignment="1" applyProtection="1">
      <alignment/>
      <protection/>
    </xf>
    <xf numFmtId="173" fontId="8" fillId="29" borderId="0" xfId="83" applyNumberFormat="1" applyFont="1" applyFill="1" applyAlignment="1" applyProtection="1">
      <alignment/>
      <protection locked="0"/>
    </xf>
    <xf numFmtId="0" fontId="8" fillId="29" borderId="0" xfId="147"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147" applyNumberFormat="1" applyFont="1" applyFill="1" applyBorder="1" applyProtection="1">
      <alignment/>
      <protection locked="0"/>
    </xf>
    <xf numFmtId="38" fontId="18" fillId="29" borderId="0" xfId="0" applyNumberFormat="1" applyFont="1" applyFill="1" applyBorder="1" applyAlignment="1" applyProtection="1">
      <alignment/>
      <protection locked="0"/>
    </xf>
    <xf numFmtId="37" fontId="18" fillId="29" borderId="0" xfId="0" applyNumberFormat="1" applyFont="1" applyFill="1" applyBorder="1" applyAlignment="1" applyProtection="1">
      <alignment/>
      <protection locked="0"/>
    </xf>
    <xf numFmtId="3" fontId="3" fillId="29" borderId="0" xfId="0" applyNumberFormat="1" applyFont="1" applyFill="1" applyAlignment="1" applyProtection="1">
      <alignment horizontal="center"/>
      <protection locked="0"/>
    </xf>
    <xf numFmtId="3" fontId="3" fillId="29" borderId="0" xfId="0" applyNumberFormat="1" applyFont="1" applyFill="1" applyAlignment="1" applyProtection="1" quotePrefix="1">
      <alignment horizontal="center"/>
      <protection locked="0"/>
    </xf>
    <xf numFmtId="0" fontId="3" fillId="29" borderId="0" xfId="0" applyNumberFormat="1" applyFont="1" applyFill="1" applyAlignment="1" applyProtection="1" quotePrefix="1">
      <alignment horizontal="center"/>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157" applyNumberFormat="1" applyFont="1" applyFill="1" applyBorder="1" applyAlignment="1" applyProtection="1">
      <alignment/>
      <protection locked="0"/>
    </xf>
    <xf numFmtId="41" fontId="72" fillId="29" borderId="11" xfId="151" applyNumberFormat="1" applyFont="1" applyFill="1" applyBorder="1" applyProtection="1">
      <alignment/>
      <protection locked="0"/>
    </xf>
    <xf numFmtId="173" fontId="72" fillId="29" borderId="0" xfId="151" applyNumberFormat="1" applyFont="1" applyFill="1" applyBorder="1" applyProtection="1">
      <alignment/>
      <protection locked="0"/>
    </xf>
    <xf numFmtId="0" fontId="66" fillId="29" borderId="0" xfId="151" applyFont="1" applyFill="1" applyAlignment="1" applyProtection="1">
      <alignment horizontal="center"/>
      <protection locked="0"/>
    </xf>
    <xf numFmtId="0" fontId="66" fillId="0" borderId="0" xfId="151" applyFont="1" applyFill="1" applyAlignment="1">
      <alignment horizontal="center"/>
      <protection/>
    </xf>
    <xf numFmtId="173" fontId="8" fillId="0" borderId="0" xfId="73" applyNumberFormat="1" applyFont="1" applyFill="1" applyAlignment="1">
      <alignment/>
    </xf>
    <xf numFmtId="174" fontId="8" fillId="0" borderId="0" xfId="85" applyNumberFormat="1" applyFont="1" applyFill="1" applyAlignment="1">
      <alignment/>
    </xf>
    <xf numFmtId="10" fontId="8" fillId="0" borderId="0" xfId="157" applyNumberFormat="1" applyFont="1" applyFill="1" applyAlignment="1">
      <alignment/>
    </xf>
    <xf numFmtId="10" fontId="0" fillId="0" borderId="0" xfId="0" applyNumberFormat="1" applyFill="1" applyAlignment="1">
      <alignment/>
    </xf>
    <xf numFmtId="174" fontId="0" fillId="0" borderId="0" xfId="0" applyNumberFormat="1" applyFill="1" applyBorder="1" applyAlignment="1">
      <alignment/>
    </xf>
    <xf numFmtId="174" fontId="8" fillId="0" borderId="0" xfId="85" applyNumberFormat="1" applyFont="1" applyFill="1" applyAlignment="1">
      <alignment/>
    </xf>
    <xf numFmtId="0" fontId="8" fillId="29" borderId="0" xfId="73" applyNumberFormat="1" applyFont="1" applyFill="1" applyAlignment="1" applyProtection="1">
      <alignment/>
      <protection locked="0"/>
    </xf>
    <xf numFmtId="173" fontId="0" fillId="29" borderId="6" xfId="150" applyNumberFormat="1" applyFont="1" applyFill="1" applyBorder="1" applyAlignment="1" applyProtection="1">
      <alignment horizontal="center"/>
      <protection locked="0"/>
    </xf>
    <xf numFmtId="0" fontId="18" fillId="29" borderId="0" xfId="73" applyNumberFormat="1" applyFont="1" applyFill="1" applyAlignment="1" applyProtection="1">
      <alignment horizontal="left"/>
      <protection locked="0"/>
    </xf>
    <xf numFmtId="173" fontId="8" fillId="29" borderId="20" xfId="73"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0" fontId="8" fillId="29" borderId="22" xfId="0" applyFont="1" applyFill="1" applyBorder="1" applyAlignment="1" applyProtection="1">
      <alignment horizontal="right"/>
      <protection locked="0"/>
    </xf>
    <xf numFmtId="173" fontId="8" fillId="29" borderId="20" xfId="0" applyNumberFormat="1" applyFont="1" applyFill="1" applyBorder="1" applyAlignment="1" applyProtection="1">
      <alignment horizontal="right"/>
      <protection locked="0"/>
    </xf>
    <xf numFmtId="174" fontId="8" fillId="29" borderId="29" xfId="0" applyNumberFormat="1" applyFont="1" applyFill="1" applyBorder="1" applyAlignment="1" applyProtection="1">
      <alignment/>
      <protection locked="0"/>
    </xf>
    <xf numFmtId="174" fontId="8" fillId="29" borderId="30" xfId="0" applyNumberFormat="1" applyFont="1" applyFill="1" applyBorder="1" applyAlignment="1" applyProtection="1">
      <alignment/>
      <protection locked="0"/>
    </xf>
    <xf numFmtId="174" fontId="8" fillId="29" borderId="31"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0" fontId="8" fillId="0" borderId="0" xfId="147" applyFont="1" applyFill="1" applyAlignment="1">
      <alignment horizontal="left"/>
      <protection/>
    </xf>
    <xf numFmtId="164" fontId="8" fillId="0" borderId="0" xfId="157" applyNumberFormat="1" applyFont="1" applyFill="1" applyAlignment="1">
      <alignment horizontal="center"/>
    </xf>
    <xf numFmtId="0" fontId="8" fillId="0" borderId="0" xfId="147" applyFont="1" applyFill="1">
      <alignment/>
      <protection/>
    </xf>
    <xf numFmtId="173" fontId="8" fillId="0" borderId="0" xfId="73" applyNumberFormat="1" applyFont="1" applyFill="1" applyAlignment="1">
      <alignment/>
    </xf>
    <xf numFmtId="10" fontId="8" fillId="0" borderId="0" xfId="157" applyNumberFormat="1" applyFont="1" applyFill="1" applyAlignment="1">
      <alignment horizontal="center"/>
    </xf>
    <xf numFmtId="43" fontId="14" fillId="0" borderId="0" xfId="147" applyNumberFormat="1" applyFont="1" applyFill="1">
      <alignment/>
      <protection/>
    </xf>
    <xf numFmtId="0" fontId="8" fillId="0" borderId="0" xfId="147" applyFont="1" applyFill="1">
      <alignment/>
      <protection/>
    </xf>
    <xf numFmtId="164" fontId="8" fillId="0" borderId="0" xfId="157" applyNumberFormat="1" applyFont="1" applyFill="1" applyAlignment="1">
      <alignment horizontal="center"/>
    </xf>
    <xf numFmtId="164" fontId="0" fillId="0" borderId="0" xfId="157" applyNumberFormat="1" applyFont="1" applyFill="1" applyAlignment="1">
      <alignment horizontal="center"/>
    </xf>
    <xf numFmtId="0" fontId="8" fillId="0" borderId="0" xfId="0" applyFont="1" applyFill="1" applyAlignment="1">
      <alignment wrapText="1"/>
    </xf>
    <xf numFmtId="0" fontId="79" fillId="0" borderId="0" xfId="147" applyFont="1" applyFill="1">
      <alignment/>
      <protection/>
    </xf>
    <xf numFmtId="0" fontId="12" fillId="0" borderId="0" xfId="147" applyFont="1" applyFill="1">
      <alignment/>
      <protection/>
    </xf>
    <xf numFmtId="43" fontId="14" fillId="0" borderId="0" xfId="73" applyFont="1" applyFill="1" applyAlignment="1">
      <alignment/>
    </xf>
    <xf numFmtId="0" fontId="15" fillId="0" borderId="0" xfId="147" applyFont="1" applyFill="1" applyAlignment="1">
      <alignment horizontal="left"/>
      <protection/>
    </xf>
    <xf numFmtId="41" fontId="0" fillId="0" borderId="0" xfId="147" applyNumberFormat="1" applyFill="1" applyBorder="1" applyAlignment="1">
      <alignment vertical="top"/>
      <protection/>
    </xf>
    <xf numFmtId="0" fontId="89" fillId="0" borderId="0" xfId="147" applyFont="1" applyFill="1" applyAlignment="1">
      <alignment wrapText="1"/>
      <protection/>
    </xf>
    <xf numFmtId="173" fontId="8" fillId="29" borderId="0" xfId="73" applyNumberFormat="1" applyFont="1" applyFill="1" applyAlignment="1" applyProtection="1">
      <alignment/>
      <protection locked="0"/>
    </xf>
    <xf numFmtId="173" fontId="8" fillId="29" borderId="0" xfId="73" applyNumberFormat="1" applyFont="1" applyFill="1" applyBorder="1" applyAlignment="1" applyProtection="1">
      <alignment/>
      <protection locked="0"/>
    </xf>
    <xf numFmtId="173" fontId="8" fillId="29" borderId="6" xfId="73" applyNumberFormat="1" applyFont="1" applyFill="1" applyBorder="1" applyAlignment="1" applyProtection="1">
      <alignment/>
      <protection locked="0"/>
    </xf>
    <xf numFmtId="0" fontId="8" fillId="29" borderId="0" xfId="147" applyFont="1" applyFill="1" applyProtection="1">
      <alignment/>
      <protection locked="0"/>
    </xf>
    <xf numFmtId="3" fontId="8" fillId="29" borderId="0" xfId="150" applyNumberFormat="1" applyFont="1" applyFill="1" applyAlignment="1" applyProtection="1">
      <alignment/>
      <protection locked="0"/>
    </xf>
    <xf numFmtId="173" fontId="8" fillId="29" borderId="0" xfId="76" applyNumberFormat="1" applyFont="1" applyFill="1" applyBorder="1" applyAlignment="1" applyProtection="1">
      <alignment/>
      <protection locked="0"/>
    </xf>
    <xf numFmtId="0" fontId="8" fillId="29" borderId="0" xfId="147" applyFont="1" applyFill="1" applyProtection="1">
      <alignment/>
      <protection locked="0"/>
    </xf>
    <xf numFmtId="37" fontId="8" fillId="29" borderId="0" xfId="147" applyNumberFormat="1" applyFont="1" applyFill="1" applyProtection="1">
      <alignment/>
      <protection locked="0"/>
    </xf>
    <xf numFmtId="173" fontId="8" fillId="29" borderId="0" xfId="147" applyNumberFormat="1" applyFont="1" applyFill="1" applyProtection="1">
      <alignment/>
      <protection locked="0"/>
    </xf>
    <xf numFmtId="173" fontId="8" fillId="29" borderId="0" xfId="73" applyNumberFormat="1" applyFont="1" applyFill="1" applyBorder="1" applyAlignment="1" applyProtection="1">
      <alignment/>
      <protection locked="0"/>
    </xf>
    <xf numFmtId="173" fontId="8" fillId="29" borderId="0" xfId="73" applyNumberFormat="1" applyFont="1" applyFill="1" applyAlignment="1" applyProtection="1">
      <alignment/>
      <protection locked="0"/>
    </xf>
    <xf numFmtId="17" fontId="79" fillId="29" borderId="0" xfId="147" applyNumberFormat="1" applyFont="1" applyFill="1" applyAlignment="1" applyProtection="1" quotePrefix="1">
      <alignment horizontal="center"/>
      <protection locked="0"/>
    </xf>
    <xf numFmtId="213" fontId="8" fillId="29" borderId="0" xfId="147" applyNumberFormat="1" applyFont="1" applyFill="1" applyProtection="1">
      <alignment/>
      <protection locked="0"/>
    </xf>
    <xf numFmtId="0" fontId="79" fillId="29" borderId="0" xfId="147" applyFont="1" applyFill="1" applyProtection="1">
      <alignment/>
      <protection locked="0"/>
    </xf>
    <xf numFmtId="164" fontId="8" fillId="29" borderId="0" xfId="157" applyNumberFormat="1" applyFont="1" applyFill="1" applyAlignment="1" applyProtection="1">
      <alignment horizontal="right" wrapText="1"/>
      <protection locked="0"/>
    </xf>
    <xf numFmtId="44" fontId="8" fillId="29" borderId="0" xfId="85" applyFont="1" applyFill="1" applyAlignment="1" applyProtection="1">
      <alignment horizontal="right" wrapText="1"/>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3" fontId="8" fillId="29" borderId="0" xfId="0" applyNumberFormat="1" applyFont="1" applyFill="1" applyAlignment="1" applyProtection="1">
      <alignment/>
      <protection locked="0"/>
    </xf>
    <xf numFmtId="173" fontId="8" fillId="29" borderId="11" xfId="0" applyNumberFormat="1" applyFont="1" applyFill="1" applyBorder="1" applyAlignment="1" applyProtection="1">
      <alignment/>
      <protection locked="0"/>
    </xf>
    <xf numFmtId="164" fontId="8" fillId="29" borderId="0" xfId="158" applyNumberFormat="1" applyFont="1" applyFill="1" applyAlignment="1" applyProtection="1">
      <alignment/>
      <protection locked="0"/>
    </xf>
    <xf numFmtId="170" fontId="111" fillId="29" borderId="31" xfId="0" applyNumberFormat="1" applyFont="1" applyFill="1" applyBorder="1" applyAlignment="1" applyProtection="1">
      <alignment horizontal="center"/>
      <protection locked="0"/>
    </xf>
    <xf numFmtId="176" fontId="111" fillId="29" borderId="0" xfId="158" applyNumberFormat="1" applyFont="1" applyFill="1" applyAlignment="1" applyProtection="1">
      <alignment/>
      <protection locked="0"/>
    </xf>
    <xf numFmtId="41" fontId="18" fillId="29" borderId="0" xfId="150" applyNumberFormat="1" applyFont="1" applyFill="1" applyAlignment="1" applyProtection="1">
      <alignment/>
      <protection/>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8" fillId="29" borderId="0" xfId="148" applyNumberFormat="1" applyFont="1" applyFill="1" applyProtection="1">
      <alignment/>
      <protection locked="0"/>
    </xf>
    <xf numFmtId="41" fontId="8" fillId="29" borderId="11" xfId="148" applyNumberFormat="1" applyFont="1" applyFill="1" applyBorder="1" applyProtection="1">
      <alignment/>
      <protection locked="0"/>
    </xf>
    <xf numFmtId="41" fontId="18" fillId="29" borderId="11" xfId="147" applyNumberFormat="1" applyFont="1" applyFill="1" applyBorder="1" applyProtection="1">
      <alignment/>
      <protection locked="0"/>
    </xf>
    <xf numFmtId="173" fontId="0" fillId="0" borderId="30" xfId="81" applyNumberFormat="1" applyFont="1" applyFill="1" applyBorder="1" applyAlignment="1" applyProtection="1">
      <alignment/>
      <protection/>
    </xf>
    <xf numFmtId="173" fontId="0" fillId="0" borderId="20" xfId="81" applyNumberFormat="1" applyFont="1" applyFill="1" applyBorder="1" applyAlignment="1" applyProtection="1">
      <alignment/>
      <protection/>
    </xf>
    <xf numFmtId="172" fontId="3" fillId="0" borderId="0" xfId="150" applyFont="1" applyAlignment="1" applyProtection="1">
      <alignment horizontal="left" wrapText="1"/>
      <protection/>
    </xf>
    <xf numFmtId="0" fontId="3" fillId="0" borderId="0" xfId="150" applyNumberFormat="1" applyFont="1" applyFill="1" applyAlignment="1" applyProtection="1">
      <alignment horizontal="left" wrapText="1"/>
      <protection/>
    </xf>
    <xf numFmtId="0" fontId="3" fillId="0" borderId="0" xfId="150" applyNumberFormat="1" applyFont="1" applyFill="1" applyAlignment="1" applyProtection="1">
      <alignment horizontal="left" vertical="top" wrapText="1"/>
      <protection/>
    </xf>
    <xf numFmtId="172" fontId="3" fillId="0" borderId="0" xfId="150" applyFont="1" applyFill="1" applyAlignment="1" applyProtection="1">
      <alignment horizontal="left" wrapText="1"/>
      <protection/>
    </xf>
    <xf numFmtId="172" fontId="3" fillId="0" borderId="0" xfId="150"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150" applyNumberFormat="1" applyFont="1" applyFill="1" applyAlignment="1" applyProtection="1">
      <alignment horizontal="center"/>
      <protection/>
    </xf>
    <xf numFmtId="3" fontId="3" fillId="0" borderId="0" xfId="150"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50" applyFont="1" applyAlignment="1" applyProtection="1">
      <alignment horizontal="left" wrapText="1"/>
      <protection/>
    </xf>
    <xf numFmtId="49" fontId="3" fillId="0" borderId="0" xfId="150"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50"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50"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50" applyFont="1" applyAlignment="1" applyProtection="1">
      <alignment wrapText="1"/>
      <protection/>
    </xf>
    <xf numFmtId="0" fontId="0" fillId="0" borderId="0" xfId="0" applyFont="1" applyAlignment="1" applyProtection="1">
      <alignment wrapText="1"/>
      <protection/>
    </xf>
    <xf numFmtId="172" fontId="3" fillId="0" borderId="0" xfId="150" applyFont="1" applyFill="1" applyAlignment="1" applyProtection="1">
      <alignment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50" applyFont="1" applyFill="1" applyAlignment="1" applyProtection="1">
      <alignment wrapText="1"/>
      <protection/>
    </xf>
    <xf numFmtId="0" fontId="3" fillId="0" borderId="0" xfId="150" applyNumberFormat="1" applyFont="1" applyFill="1" applyAlignment="1" applyProtection="1">
      <alignment horizontal="left" wrapText="1"/>
      <protection/>
    </xf>
    <xf numFmtId="172" fontId="3" fillId="0" borderId="0" xfId="150" applyFont="1" applyAlignment="1" applyProtection="1">
      <alignment horizontal="left"/>
      <protection/>
    </xf>
    <xf numFmtId="0" fontId="16" fillId="0" borderId="0" xfId="134" applyFont="1" applyBorder="1" applyAlignment="1" quotePrefix="1">
      <alignment horizontal="center" wrapText="1"/>
      <protection/>
    </xf>
    <xf numFmtId="0" fontId="12" fillId="0" borderId="0" xfId="0" applyFont="1" applyAlignment="1">
      <alignment horizontal="center" wrapText="1"/>
    </xf>
    <xf numFmtId="0" fontId="3" fillId="0" borderId="0" xfId="134" applyFont="1" applyBorder="1" applyAlignment="1">
      <alignment horizontal="center"/>
      <protection/>
    </xf>
    <xf numFmtId="0" fontId="3" fillId="0" borderId="0" xfId="0" applyFont="1" applyAlignment="1">
      <alignment horizontal="center"/>
    </xf>
    <xf numFmtId="49" fontId="3" fillId="0" borderId="0" xfId="134" applyNumberFormat="1" applyFont="1" applyBorder="1" applyAlignment="1">
      <alignment horizontal="center"/>
      <protection/>
    </xf>
    <xf numFmtId="0" fontId="16" fillId="0" borderId="0" xfId="147" applyFont="1" applyAlignment="1">
      <alignment horizontal="center" wrapText="1"/>
      <protection/>
    </xf>
    <xf numFmtId="3" fontId="3" fillId="0" borderId="0" xfId="0" applyNumberFormat="1" applyFont="1" applyAlignment="1">
      <alignment horizontal="center"/>
    </xf>
    <xf numFmtId="0" fontId="75" fillId="0" borderId="0" xfId="147" applyFont="1" applyFill="1" applyAlignment="1">
      <alignment horizontal="center"/>
      <protection/>
    </xf>
    <xf numFmtId="0" fontId="75" fillId="0" borderId="0" xfId="134" applyNumberFormat="1" applyFont="1" applyFill="1" applyBorder="1" applyAlignment="1">
      <alignment horizontal="center"/>
      <protection/>
    </xf>
    <xf numFmtId="0" fontId="16" fillId="0" borderId="0" xfId="147"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134" applyFont="1" applyBorder="1" applyAlignment="1" applyProtection="1">
      <alignment horizontal="center"/>
      <protection/>
    </xf>
    <xf numFmtId="3" fontId="3" fillId="0" borderId="0" xfId="0" applyNumberFormat="1" applyFont="1" applyAlignment="1" applyProtection="1">
      <alignment horizontal="center"/>
      <protection/>
    </xf>
    <xf numFmtId="0" fontId="9" fillId="0" borderId="0" xfId="154" applyFont="1" applyFill="1" applyAlignment="1" applyProtection="1">
      <alignment wrapText="1"/>
      <protection/>
    </xf>
    <xf numFmtId="172" fontId="0" fillId="0" borderId="0" xfId="150"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4"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151" applyFont="1" applyBorder="1" applyAlignment="1">
      <alignment horizontal="center"/>
      <protection/>
    </xf>
    <xf numFmtId="49" fontId="3" fillId="0" borderId="0" xfId="73" applyNumberFormat="1" applyFont="1" applyAlignment="1">
      <alignment horizontal="center"/>
    </xf>
    <xf numFmtId="0" fontId="66" fillId="0" borderId="0" xfId="151" applyFont="1" applyAlignment="1">
      <alignment wrapText="1"/>
      <protection/>
    </xf>
    <xf numFmtId="3" fontId="3" fillId="0" borderId="0" xfId="134" applyNumberFormat="1" applyFont="1" applyBorder="1" applyAlignment="1">
      <alignment horizontal="center"/>
      <protection/>
    </xf>
    <xf numFmtId="0" fontId="2" fillId="0" borderId="0" xfId="134"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9" borderId="0" xfId="0" applyFont="1" applyFill="1" applyAlignment="1" applyProtection="1">
      <alignment horizontal="center"/>
      <protection locked="0"/>
    </xf>
    <xf numFmtId="172" fontId="0" fillId="0" borderId="23" xfId="150"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lignment horizontal="center" wrapText="1"/>
    </xf>
    <xf numFmtId="41" fontId="9" fillId="0" borderId="0" xfId="147" applyNumberFormat="1" applyFont="1" applyFill="1" applyBorder="1" applyAlignment="1" applyProtection="1">
      <alignment horizontal="center" wrapText="1"/>
      <protection/>
    </xf>
    <xf numFmtId="0" fontId="86" fillId="0" borderId="0" xfId="147"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47" applyFont="1" applyFill="1" applyAlignment="1" applyProtection="1">
      <alignment horizontal="left" wrapText="1"/>
      <protection/>
    </xf>
    <xf numFmtId="0" fontId="9" fillId="0" borderId="0" xfId="147" applyFont="1" applyFill="1" applyAlignment="1" applyProtection="1">
      <alignment horizontal="left" vertical="top" wrapText="1"/>
      <protection/>
    </xf>
    <xf numFmtId="0" fontId="8" fillId="29"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 fillId="0" borderId="0" xfId="153" applyAlignment="1" applyProtection="1">
      <alignment wrapText="1"/>
      <protection/>
    </xf>
    <xf numFmtId="0" fontId="3" fillId="0" borderId="0" xfId="0" applyFont="1" applyAlignment="1" applyProtection="1">
      <alignment vertical="top" wrapText="1"/>
      <protection/>
    </xf>
    <xf numFmtId="0" fontId="115" fillId="0" borderId="0" xfId="153"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1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3 4" xfId="81"/>
    <cellStyle name="Comma 4"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4" xfId="92"/>
    <cellStyle name="Currency0" xfId="93"/>
    <cellStyle name="Date" xfId="94"/>
    <cellStyle name="Explanatory Text" xfId="95"/>
    <cellStyle name="Fixed" xfId="96"/>
    <cellStyle name="Followed Hyperlink" xfId="97"/>
    <cellStyle name="Good" xfId="98"/>
    <cellStyle name="Heading 1" xfId="99"/>
    <cellStyle name="Heading 2" xfId="100"/>
    <cellStyle name="Heading 3" xfId="101"/>
    <cellStyle name="Heading 4" xfId="102"/>
    <cellStyle name="Heading1" xfId="103"/>
    <cellStyle name="Heading2" xfId="104"/>
    <cellStyle name="Hyperlink" xfId="105"/>
    <cellStyle name="Input" xfId="106"/>
    <cellStyle name="Linked Cell" xfId="107"/>
    <cellStyle name="Neutral" xfId="108"/>
    <cellStyle name="Normal 10" xfId="109"/>
    <cellStyle name="Normal 11" xfId="110"/>
    <cellStyle name="Normal 12" xfId="111"/>
    <cellStyle name="Normal 12 4" xfId="112"/>
    <cellStyle name="Normal 13" xfId="113"/>
    <cellStyle name="Normal 14" xfId="114"/>
    <cellStyle name="Normal 15" xfId="115"/>
    <cellStyle name="Normal 16" xfId="116"/>
    <cellStyle name="Normal 17" xfId="117"/>
    <cellStyle name="Normal 18" xfId="118"/>
    <cellStyle name="Normal 19" xfId="119"/>
    <cellStyle name="Normal 2" xfId="120"/>
    <cellStyle name="Normal 2 2" xfId="121"/>
    <cellStyle name="Normal 2 3" xfId="122"/>
    <cellStyle name="Normal 20" xfId="123"/>
    <cellStyle name="Normal 21" xfId="124"/>
    <cellStyle name="Normal 22" xfId="125"/>
    <cellStyle name="Normal 23" xfId="126"/>
    <cellStyle name="Normal 24" xfId="127"/>
    <cellStyle name="Normal 25" xfId="128"/>
    <cellStyle name="Normal 26" xfId="129"/>
    <cellStyle name="Normal 27" xfId="130"/>
    <cellStyle name="Normal 28" xfId="131"/>
    <cellStyle name="Normal 29" xfId="132"/>
    <cellStyle name="Normal 3" xfId="133"/>
    <cellStyle name="Normal 3 2" xfId="134"/>
    <cellStyle name="Normal 3 3" xfId="135"/>
    <cellStyle name="Normal 3_OPCo Period I PJM  Formula Rate" xfId="136"/>
    <cellStyle name="Normal 30" xfId="137"/>
    <cellStyle name="Normal 4" xfId="138"/>
    <cellStyle name="Normal 4 2" xfId="139"/>
    <cellStyle name="Normal 4 3" xfId="140"/>
    <cellStyle name="Normal 5" xfId="141"/>
    <cellStyle name="Normal 5 2" xfId="142"/>
    <cellStyle name="Normal 6" xfId="143"/>
    <cellStyle name="Normal 7" xfId="144"/>
    <cellStyle name="Normal 8" xfId="145"/>
    <cellStyle name="Normal 9" xfId="146"/>
    <cellStyle name="Normal_ADITAnalysisID090805" xfId="147"/>
    <cellStyle name="Normal_ADITAnalysisID090805 2" xfId="148"/>
    <cellStyle name="Normal_AU Period 2 Rev 4-27-00" xfId="149"/>
    <cellStyle name="Normal_FN1 Ratebase Draft SPP template (6-11-04) v2" xfId="150"/>
    <cellStyle name="Normal_I&amp;M-AK-1" xfId="151"/>
    <cellStyle name="Normal_OPCo Period I PJM  Formula Rate" xfId="152"/>
    <cellStyle name="Normal_Revised 1-21-10  Deprec Summary" xfId="153"/>
    <cellStyle name="Normal_spp calc - revsd rev crd" xfId="154"/>
    <cellStyle name="Note" xfId="155"/>
    <cellStyle name="Output" xfId="156"/>
    <cellStyle name="Percent" xfId="157"/>
    <cellStyle name="Percent 2" xfId="158"/>
    <cellStyle name="Percent 2 2" xfId="159"/>
    <cellStyle name="Percent 3" xfId="160"/>
    <cellStyle name="Percent 3 2" xfId="161"/>
    <cellStyle name="Percent 3 3" xfId="162"/>
    <cellStyle name="Percent 4" xfId="163"/>
    <cellStyle name="PSChar" xfId="164"/>
    <cellStyle name="PSDate" xfId="165"/>
    <cellStyle name="PSDec" xfId="166"/>
    <cellStyle name="PSdesc" xfId="167"/>
    <cellStyle name="PSHeading" xfId="168"/>
    <cellStyle name="PSInt" xfId="169"/>
    <cellStyle name="PSSpacer" xfId="170"/>
    <cellStyle name="PStest" xfId="171"/>
    <cellStyle name="R00A" xfId="172"/>
    <cellStyle name="R00B" xfId="173"/>
    <cellStyle name="R00L" xfId="174"/>
    <cellStyle name="R01A" xfId="175"/>
    <cellStyle name="R01B" xfId="176"/>
    <cellStyle name="R01H" xfId="177"/>
    <cellStyle name="R01L" xfId="178"/>
    <cellStyle name="R02A" xfId="179"/>
    <cellStyle name="R02B" xfId="180"/>
    <cellStyle name="R02H" xfId="181"/>
    <cellStyle name="R02L" xfId="182"/>
    <cellStyle name="R03A" xfId="183"/>
    <cellStyle name="R03B" xfId="184"/>
    <cellStyle name="R03H" xfId="185"/>
    <cellStyle name="R03L" xfId="186"/>
    <cellStyle name="R04A" xfId="187"/>
    <cellStyle name="R04B" xfId="188"/>
    <cellStyle name="R04H" xfId="189"/>
    <cellStyle name="R04L" xfId="190"/>
    <cellStyle name="R05A" xfId="191"/>
    <cellStyle name="R05B" xfId="192"/>
    <cellStyle name="R05H" xfId="193"/>
    <cellStyle name="R05L" xfId="194"/>
    <cellStyle name="R06A" xfId="195"/>
    <cellStyle name="R06B" xfId="196"/>
    <cellStyle name="R06H" xfId="197"/>
    <cellStyle name="R06L" xfId="198"/>
    <cellStyle name="R07A" xfId="199"/>
    <cellStyle name="R07B" xfId="200"/>
    <cellStyle name="R07H" xfId="201"/>
    <cellStyle name="R07L" xfId="202"/>
    <cellStyle name="Title" xfId="203"/>
    <cellStyle name="Total" xfId="204"/>
    <cellStyle name="Warning Text" xfId="20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zoomScale="70" zoomScaleNormal="70" zoomScaleSheetLayoutView="75" zoomScalePageLayoutView="0" workbookViewId="0" topLeftCell="C160">
      <selection activeCell="G184" sqref="G184"/>
    </sheetView>
  </sheetViews>
  <sheetFormatPr defaultColWidth="11.421875" defaultRowHeight="12.75"/>
  <cols>
    <col min="1" max="1" width="4.7109375" style="424" customWidth="1"/>
    <col min="2" max="2" width="7.8515625" style="423" customWidth="1"/>
    <col min="3" max="3" width="1.8515625" style="424" customWidth="1"/>
    <col min="4" max="4" width="70.140625" style="424" customWidth="1"/>
    <col min="5" max="5" width="25.7109375" style="424" customWidth="1"/>
    <col min="6" max="6" width="22.28125" style="424" customWidth="1"/>
    <col min="7" max="7" width="20.7109375" style="424" customWidth="1"/>
    <col min="8" max="8" width="16.140625" style="424" customWidth="1"/>
    <col min="9" max="9" width="11.28125" style="424" customWidth="1"/>
    <col min="10" max="10" width="21.57421875" style="424" bestFit="1" customWidth="1"/>
    <col min="11" max="11" width="4.7109375" style="424" customWidth="1"/>
    <col min="12" max="12" width="23.00390625" style="424" customWidth="1"/>
    <col min="13" max="13" width="5.00390625" style="424" customWidth="1"/>
    <col min="14" max="14" width="31.140625" style="424" customWidth="1"/>
    <col min="15" max="15" width="8.140625" style="424" customWidth="1"/>
    <col min="16" max="16" width="21.8515625" style="424" customWidth="1"/>
    <col min="17" max="17" width="11.421875" style="424" customWidth="1"/>
    <col min="18" max="18" width="20.57421875" style="424" bestFit="1" customWidth="1"/>
    <col min="19" max="16384" width="11.421875" style="424" customWidth="1"/>
  </cols>
  <sheetData>
    <row r="1" spans="4:12" ht="15.75">
      <c r="D1" s="425"/>
      <c r="E1" s="426"/>
      <c r="F1" s="426"/>
      <c r="G1" s="427"/>
      <c r="I1" s="428"/>
      <c r="J1" s="428"/>
      <c r="K1" s="428"/>
      <c r="L1" s="429"/>
    </row>
    <row r="2" spans="10:12" ht="15">
      <c r="J2" s="424" t="s">
        <v>700</v>
      </c>
      <c r="L2" s="1053">
        <v>2017</v>
      </c>
    </row>
    <row r="3" spans="4:15" ht="15">
      <c r="D3" s="430"/>
      <c r="E3" s="430"/>
      <c r="F3" s="431" t="s">
        <v>489</v>
      </c>
      <c r="G3" s="432"/>
      <c r="H3" s="432"/>
      <c r="J3" s="430"/>
      <c r="K3" s="433"/>
      <c r="L3" s="433"/>
      <c r="M3" s="434"/>
      <c r="O3" s="435"/>
    </row>
    <row r="4" spans="4:13" ht="15">
      <c r="D4" s="430"/>
      <c r="E4" s="436"/>
      <c r="F4" s="431" t="s">
        <v>490</v>
      </c>
      <c r="G4" s="432"/>
      <c r="H4" s="432"/>
      <c r="J4" s="436"/>
      <c r="K4" s="433"/>
      <c r="L4" s="433"/>
      <c r="M4" s="434"/>
    </row>
    <row r="5" spans="4:13" ht="15">
      <c r="D5" s="433"/>
      <c r="E5" s="433"/>
      <c r="F5" s="437" t="str">
        <f>"Utilizing  Actual/Projected FERC Form 1 Data"</f>
        <v>Utilizing  Actual/Projected FERC Form 1 Data</v>
      </c>
      <c r="G5" s="432"/>
      <c r="H5" s="432"/>
      <c r="J5" s="433"/>
      <c r="K5" s="433"/>
      <c r="L5" s="433"/>
      <c r="M5" s="434"/>
    </row>
    <row r="6" spans="2:13" ht="15">
      <c r="B6" s="438"/>
      <c r="C6" s="439"/>
      <c r="D6" s="433"/>
      <c r="H6" s="440"/>
      <c r="I6" s="440"/>
      <c r="J6" s="440"/>
      <c r="K6" s="440"/>
      <c r="L6" s="433"/>
      <c r="M6" s="433"/>
    </row>
    <row r="7" spans="2:13" ht="15.75">
      <c r="B7" s="438"/>
      <c r="C7" s="439"/>
      <c r="D7" s="441"/>
      <c r="E7" s="433"/>
      <c r="F7" s="442" t="s">
        <v>781</v>
      </c>
      <c r="G7" s="443"/>
      <c r="H7" s="433"/>
      <c r="I7" s="433"/>
      <c r="J7" s="433"/>
      <c r="K7" s="433"/>
      <c r="L7" s="441"/>
      <c r="M7" s="433"/>
    </row>
    <row r="8" spans="2:13" ht="15">
      <c r="B8" s="438"/>
      <c r="C8" s="439"/>
      <c r="D8" s="433"/>
      <c r="E8" s="433"/>
      <c r="F8" s="444"/>
      <c r="G8" s="443"/>
      <c r="H8" s="433"/>
      <c r="I8" s="433"/>
      <c r="J8" s="433"/>
      <c r="K8" s="433"/>
      <c r="L8" s="441"/>
      <c r="M8" s="433"/>
    </row>
    <row r="9" spans="2:13" ht="15">
      <c r="B9" s="438" t="s">
        <v>201</v>
      </c>
      <c r="C9" s="439"/>
      <c r="D9" s="433"/>
      <c r="E9" s="433"/>
      <c r="F9" s="433"/>
      <c r="G9" s="443"/>
      <c r="H9" s="433"/>
      <c r="I9" s="433"/>
      <c r="J9" s="433"/>
      <c r="K9" s="433"/>
      <c r="L9" s="439" t="s">
        <v>147</v>
      </c>
      <c r="M9" s="433"/>
    </row>
    <row r="10" spans="2:13" ht="15.75" thickBot="1">
      <c r="B10" s="445" t="s">
        <v>149</v>
      </c>
      <c r="C10" s="446"/>
      <c r="D10" s="433"/>
      <c r="E10" s="446"/>
      <c r="F10" s="433"/>
      <c r="G10" s="433"/>
      <c r="H10" s="433"/>
      <c r="I10" s="433"/>
      <c r="J10" s="433"/>
      <c r="K10" s="433"/>
      <c r="L10" s="447" t="s">
        <v>202</v>
      </c>
      <c r="M10" s="433"/>
    </row>
    <row r="11" spans="2:13" ht="15">
      <c r="B11" s="438">
        <f>1</f>
        <v>1</v>
      </c>
      <c r="C11" s="439"/>
      <c r="D11" s="448" t="s">
        <v>143</v>
      </c>
      <c r="E11" s="449" t="str">
        <f>"(ln "&amp;B223&amp;")"</f>
        <v>(ln 143)</v>
      </c>
      <c r="F11" s="449"/>
      <c r="G11" s="450"/>
      <c r="H11" s="451"/>
      <c r="I11" s="433"/>
      <c r="J11" s="433"/>
      <c r="K11" s="433"/>
      <c r="L11" s="452">
        <f>+L223</f>
        <v>65996191.56029514</v>
      </c>
      <c r="M11" s="433"/>
    </row>
    <row r="12" spans="2:13" ht="15.75" thickBot="1">
      <c r="B12" s="438"/>
      <c r="C12" s="439"/>
      <c r="E12" s="453"/>
      <c r="F12" s="454"/>
      <c r="G12" s="447" t="s">
        <v>150</v>
      </c>
      <c r="H12" s="436"/>
      <c r="I12" s="455" t="s">
        <v>151</v>
      </c>
      <c r="J12" s="455"/>
      <c r="K12" s="433"/>
      <c r="L12" s="450"/>
      <c r="M12" s="433"/>
    </row>
    <row r="13" spans="2:13" ht="15">
      <c r="B13" s="438">
        <f>+B11+1</f>
        <v>2</v>
      </c>
      <c r="C13" s="439"/>
      <c r="D13" s="456" t="s">
        <v>200</v>
      </c>
      <c r="E13" s="453" t="s">
        <v>856</v>
      </c>
      <c r="F13" s="454"/>
      <c r="G13" s="457">
        <f>+'KP WS E Rev Credits'!K25</f>
        <v>102433.65006219759</v>
      </c>
      <c r="H13" s="454"/>
      <c r="I13" s="458" t="s">
        <v>161</v>
      </c>
      <c r="J13" s="459">
        <v>1</v>
      </c>
      <c r="K13" s="436"/>
      <c r="L13" s="460">
        <f>+J13*G13</f>
        <v>102433.65006219759</v>
      </c>
      <c r="M13" s="433"/>
    </row>
    <row r="14" spans="2:13" ht="15">
      <c r="B14" s="438"/>
      <c r="C14" s="439"/>
      <c r="D14" s="456"/>
      <c r="F14" s="436"/>
      <c r="L14" s="461"/>
      <c r="M14" s="433"/>
    </row>
    <row r="15" spans="2:13" ht="15">
      <c r="B15" s="438"/>
      <c r="C15" s="439"/>
      <c r="D15" s="456"/>
      <c r="F15" s="436"/>
      <c r="L15" s="462"/>
      <c r="M15" s="433"/>
    </row>
    <row r="16" spans="2:13" ht="15">
      <c r="B16" s="438">
        <f>+B13+1</f>
        <v>3</v>
      </c>
      <c r="C16" s="439"/>
      <c r="D16" s="456" t="s">
        <v>701</v>
      </c>
      <c r="E16" s="424" t="s">
        <v>857</v>
      </c>
      <c r="F16" s="436"/>
      <c r="L16" s="460">
        <f>'KP WS E Rev Credits'!K33</f>
        <v>0</v>
      </c>
      <c r="M16" s="433"/>
    </row>
    <row r="17" spans="2:13" ht="15">
      <c r="B17" s="438"/>
      <c r="C17" s="439"/>
      <c r="D17" s="456"/>
      <c r="F17" s="436"/>
      <c r="L17" s="462"/>
      <c r="M17" s="433"/>
    </row>
    <row r="18" spans="2:13" ht="15.75" thickBot="1">
      <c r="B18" s="463">
        <f>+B16+1</f>
        <v>4</v>
      </c>
      <c r="C18" s="464"/>
      <c r="D18" s="465" t="s">
        <v>590</v>
      </c>
      <c r="E18" s="466" t="str">
        <f>"(ln "&amp;B11&amp;" less ln "&amp;B13&amp;" plus ln "&amp;B16&amp;")"</f>
        <v>(ln 1 less ln 2 plus ln 3)</v>
      </c>
      <c r="F18" s="433"/>
      <c r="H18" s="436"/>
      <c r="I18" s="467"/>
      <c r="J18" s="436"/>
      <c r="K18" s="436"/>
      <c r="L18" s="468">
        <f>+L11-L13+L16</f>
        <v>65893757.91023295</v>
      </c>
      <c r="M18" s="433"/>
    </row>
    <row r="19" spans="2:13" ht="15.75" thickTop="1">
      <c r="B19" s="463"/>
      <c r="C19" s="464"/>
      <c r="D19" s="465"/>
      <c r="E19" s="466"/>
      <c r="F19" s="433"/>
      <c r="H19" s="436"/>
      <c r="I19" s="467"/>
      <c r="J19" s="436"/>
      <c r="K19" s="436"/>
      <c r="L19" s="460"/>
      <c r="M19" s="433"/>
    </row>
    <row r="20" spans="2:13" ht="15">
      <c r="B20" s="463"/>
      <c r="C20" s="464"/>
      <c r="D20" s="465"/>
      <c r="E20" s="466"/>
      <c r="F20" s="433"/>
      <c r="H20" s="436"/>
      <c r="I20" s="467"/>
      <c r="J20" s="436"/>
      <c r="K20" s="436"/>
      <c r="L20" s="460"/>
      <c r="M20" s="433"/>
    </row>
    <row r="21" spans="2:13" ht="15">
      <c r="B21" s="463"/>
      <c r="C21" s="464"/>
      <c r="D21" s="456"/>
      <c r="E21" s="466"/>
      <c r="F21" s="433"/>
      <c r="H21" s="436"/>
      <c r="I21" s="467"/>
      <c r="J21" s="436"/>
      <c r="K21" s="436"/>
      <c r="L21" s="469"/>
      <c r="M21" s="433"/>
    </row>
    <row r="22" spans="2:9" ht="15" customHeight="1">
      <c r="B22" s="1182"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182"/>
      <c r="D22" s="1182"/>
      <c r="E22" s="1182"/>
      <c r="F22" s="1182"/>
      <c r="G22" s="1182"/>
      <c r="H22" s="1182"/>
      <c r="I22" s="1182"/>
    </row>
    <row r="23" spans="2:9" ht="35.25" customHeight="1">
      <c r="B23" s="1182"/>
      <c r="C23" s="1182"/>
      <c r="D23" s="1182"/>
      <c r="E23" s="1182"/>
      <c r="F23" s="1182"/>
      <c r="G23" s="1182"/>
      <c r="H23" s="1182"/>
      <c r="I23" s="1182"/>
    </row>
    <row r="24" spans="2:9" ht="15" customHeight="1">
      <c r="B24" s="470"/>
      <c r="C24" s="470"/>
      <c r="D24" s="470"/>
      <c r="E24" s="470"/>
      <c r="F24" s="470"/>
      <c r="G24" s="470"/>
      <c r="H24" s="470"/>
      <c r="I24" s="470"/>
    </row>
    <row r="25" spans="2:13" ht="15">
      <c r="B25" s="438">
        <f>+B18+1</f>
        <v>5</v>
      </c>
      <c r="C25" s="464"/>
      <c r="D25" s="471" t="s">
        <v>702</v>
      </c>
      <c r="E25" s="453"/>
      <c r="F25" s="454"/>
      <c r="G25" s="472">
        <f>'KP WS J PROJECTED RTEP RR'!M24</f>
        <v>0</v>
      </c>
      <c r="H25" s="454"/>
      <c r="I25" s="458" t="s">
        <v>161</v>
      </c>
      <c r="J25" s="459">
        <v>1</v>
      </c>
      <c r="K25" s="449"/>
      <c r="L25" s="473">
        <f>+J25*G25</f>
        <v>0</v>
      </c>
      <c r="M25" s="433"/>
    </row>
    <row r="26" spans="2:13" ht="15">
      <c r="B26" s="438"/>
      <c r="C26" s="464"/>
      <c r="D26" s="471"/>
      <c r="E26" s="466"/>
      <c r="F26" s="454"/>
      <c r="G26" s="472"/>
      <c r="H26" s="454"/>
      <c r="I26" s="454"/>
      <c r="J26" s="459"/>
      <c r="K26" s="449"/>
      <c r="L26" s="473"/>
      <c r="M26" s="433"/>
    </row>
    <row r="27" spans="2:13" ht="15">
      <c r="B27" s="463">
        <f>+B25+1</f>
        <v>6</v>
      </c>
      <c r="C27" s="464"/>
      <c r="D27" s="471" t="s">
        <v>470</v>
      </c>
      <c r="E27" s="453"/>
      <c r="F27" s="433"/>
      <c r="G27" s="474"/>
      <c r="H27" s="433"/>
      <c r="J27" s="433"/>
      <c r="K27" s="433"/>
      <c r="M27" s="433"/>
    </row>
    <row r="28" spans="2:13" ht="15">
      <c r="B28" s="438">
        <f>B27+1</f>
        <v>7</v>
      </c>
      <c r="C28" s="464"/>
      <c r="D28" s="475" t="s">
        <v>326</v>
      </c>
      <c r="E28" s="449" t="str">
        <f>"( (ln "&amp;B11&amp;" - ln "&amp;B177&amp;")/((ln "&amp;$B$96&amp;" + ln "&amp;$B$97&amp;" + ln "&amp;$B$98&amp;" + ln "&amp;$B$99&amp;" + ln "&amp;$B$101&amp;") x 100) )"</f>
        <v>( (ln 1 - ln 107)/((ln 49 + ln 50 + ln 51 + ln 52 + ln 54) x 100) )</v>
      </c>
      <c r="F28" s="439"/>
      <c r="G28" s="439"/>
      <c r="H28" s="439"/>
      <c r="I28" s="476"/>
      <c r="J28" s="476"/>
      <c r="K28" s="476"/>
      <c r="L28" s="477">
        <f>(L11-L177)/(SUM(SUM($L$96:$L$99),$L$101))</f>
        <v>0.17416779520243603</v>
      </c>
      <c r="M28" s="433"/>
    </row>
    <row r="29" spans="2:13" ht="15">
      <c r="B29" s="438">
        <f>B28+1</f>
        <v>8</v>
      </c>
      <c r="C29" s="464"/>
      <c r="D29" s="475" t="s">
        <v>327</v>
      </c>
      <c r="E29" s="449" t="str">
        <f>"(ln "&amp;B28&amp;" / 12)"</f>
        <v>(ln 7 / 12)</v>
      </c>
      <c r="F29" s="439"/>
      <c r="G29" s="439"/>
      <c r="H29" s="439"/>
      <c r="I29" s="476"/>
      <c r="J29" s="476"/>
      <c r="K29" s="476"/>
      <c r="L29" s="478">
        <f>L28/12</f>
        <v>0.014513982933536335</v>
      </c>
      <c r="M29" s="433"/>
    </row>
    <row r="30" spans="2:13" ht="15">
      <c r="B30" s="438"/>
      <c r="C30" s="464"/>
      <c r="D30" s="475"/>
      <c r="E30" s="449"/>
      <c r="F30" s="439"/>
      <c r="G30" s="439"/>
      <c r="H30" s="439"/>
      <c r="I30" s="476"/>
      <c r="J30" s="476"/>
      <c r="K30" s="476"/>
      <c r="L30" s="478"/>
      <c r="M30" s="433"/>
    </row>
    <row r="31" spans="2:13" ht="15">
      <c r="B31" s="438">
        <f>B29+1</f>
        <v>9</v>
      </c>
      <c r="C31" s="464"/>
      <c r="D31" s="471" t="str">
        <f>"NET PLANT CARRYING CHARGE ON LINE "&amp;B28&amp;" , w/o depreciation or ROE incentives (Note B)"</f>
        <v>NET PLANT CARRYING CHARGE ON LINE 7 , w/o depreciation or ROE incentives (Note B)</v>
      </c>
      <c r="E31" s="449"/>
      <c r="F31" s="439"/>
      <c r="G31" s="439"/>
      <c r="H31" s="439"/>
      <c r="I31" s="476"/>
      <c r="J31" s="476"/>
      <c r="K31" s="476"/>
      <c r="L31" s="478"/>
      <c r="M31" s="433"/>
    </row>
    <row r="32" spans="2:13" ht="15">
      <c r="B32" s="438">
        <f>B31+1</f>
        <v>10</v>
      </c>
      <c r="C32" s="464"/>
      <c r="D32" s="475" t="s">
        <v>326</v>
      </c>
      <c r="E32" s="449" t="str">
        <f>"( (ln "&amp;B11&amp;" - ln "&amp;B177&amp;" - ln "&amp;B183&amp;" ) /((ln "&amp;$B$96&amp;" + ln "&amp;$B$97&amp;" + ln "&amp;$B$98&amp;" + ln "&amp;$B$99&amp;" + ln "&amp;$B$101&amp;") x 100) )"</f>
        <v>( (ln 1 - ln 107 - ln 112 ) /((ln 49 + ln 50 + ln 51 + ln 52 + ln 54) x 100) )</v>
      </c>
      <c r="F32" s="439"/>
      <c r="G32" s="439"/>
      <c r="H32" s="439"/>
      <c r="I32" s="476"/>
      <c r="J32" s="476"/>
      <c r="K32" s="476"/>
      <c r="L32" s="477">
        <f>(L11-L177-L183)/L96</f>
        <v>0.1335915242805714</v>
      </c>
      <c r="M32" s="433"/>
    </row>
    <row r="33" spans="2:13" ht="15">
      <c r="B33" s="438"/>
      <c r="C33" s="464"/>
      <c r="D33" s="475"/>
      <c r="E33" s="449"/>
      <c r="F33" s="439"/>
      <c r="G33" s="439"/>
      <c r="H33" s="439"/>
      <c r="I33" s="476"/>
      <c r="J33" s="476"/>
      <c r="K33" s="476"/>
      <c r="L33" s="478"/>
      <c r="M33" s="433"/>
    </row>
    <row r="34" spans="2:13" ht="15">
      <c r="B34" s="438">
        <f>B32+1</f>
        <v>11</v>
      </c>
      <c r="C34" s="464"/>
      <c r="D34" s="471" t="str">
        <f>"NET PLANT CARRYING CHARGE ON LINE "&amp;B32&amp;", w/o Return, income taxes or ROE incentives (Note B)"</f>
        <v>NET PLANT CARRYING CHARGE ON LINE 10, w/o Return, income taxes or ROE incentives (Note B)</v>
      </c>
      <c r="E34" s="449"/>
      <c r="F34" s="479"/>
      <c r="G34" s="479"/>
      <c r="H34" s="479"/>
      <c r="I34" s="479"/>
      <c r="J34" s="479"/>
      <c r="K34" s="479"/>
      <c r="L34" s="479"/>
      <c r="M34" s="441"/>
    </row>
    <row r="35" spans="2:13" ht="15">
      <c r="B35" s="438">
        <f>B34+1</f>
        <v>12</v>
      </c>
      <c r="C35" s="464"/>
      <c r="D35" s="430" t="s">
        <v>326</v>
      </c>
      <c r="E35" s="449" t="str">
        <f>"( (ln "&amp;B11&amp;" - ln "&amp;B177&amp;" - ln "&amp;B183&amp;" - ln "&amp;B213&amp;" - ln "&amp;B215&amp;") /((ln "&amp;$B$96&amp;" + ln "&amp;$B$97&amp;" + ln "&amp;$B$98&amp;" + ln "&amp;$B$99&amp;" + ln "&amp;$B$101&amp;") x 100) )"</f>
        <v>( (ln 1 - ln 107 - ln 112 - ln 138 - ln 139) /((ln 49 + ln 50 + ln 51 + ln 52 + ln 54) x 100) )</v>
      </c>
      <c r="F35" s="479"/>
      <c r="G35" s="479"/>
      <c r="H35" s="479"/>
      <c r="I35" s="479"/>
      <c r="J35" s="479"/>
      <c r="K35" s="479"/>
      <c r="L35" s="480">
        <f>(L11-L177-L183-L213-L215)/L96</f>
        <v>0.03692447441893016</v>
      </c>
      <c r="M35" s="441"/>
    </row>
    <row r="36" spans="2:13" ht="15">
      <c r="B36" s="438"/>
      <c r="C36" s="464"/>
      <c r="D36" s="430"/>
      <c r="E36" s="449"/>
      <c r="F36" s="439"/>
      <c r="G36" s="439"/>
      <c r="H36" s="439"/>
      <c r="I36" s="476"/>
      <c r="J36" s="476"/>
      <c r="K36" s="476"/>
      <c r="L36" s="477"/>
      <c r="M36" s="481"/>
    </row>
    <row r="37" spans="2:13" ht="15">
      <c r="B37" s="438">
        <f>B35+1</f>
        <v>13</v>
      </c>
      <c r="C37" s="439"/>
      <c r="D37" s="482" t="s">
        <v>763</v>
      </c>
      <c r="E37" s="449"/>
      <c r="F37" s="439"/>
      <c r="G37" s="439"/>
      <c r="H37" s="439"/>
      <c r="I37" s="476"/>
      <c r="J37" s="476"/>
      <c r="K37" s="476"/>
      <c r="L37" s="483"/>
      <c r="M37" s="433"/>
    </row>
    <row r="38" spans="2:13" ht="15">
      <c r="B38" s="438"/>
      <c r="C38" s="439"/>
      <c r="E38" s="449"/>
      <c r="F38" s="439"/>
      <c r="G38" s="439"/>
      <c r="H38" s="439"/>
      <c r="I38" s="476"/>
      <c r="J38" s="476"/>
      <c r="K38" s="476"/>
      <c r="L38" s="477"/>
      <c r="M38" s="433"/>
    </row>
    <row r="39" spans="2:13" ht="15">
      <c r="B39" s="424"/>
      <c r="C39" s="439"/>
      <c r="E39" s="449"/>
      <c r="F39" s="439"/>
      <c r="G39" s="439"/>
      <c r="H39" s="439"/>
      <c r="I39" s="476"/>
      <c r="J39" s="476"/>
      <c r="K39" s="476"/>
      <c r="L39" s="477"/>
      <c r="M39" s="433"/>
    </row>
    <row r="40" spans="2:13" ht="15.75">
      <c r="B40" s="438">
        <f>+B37+1</f>
        <v>14</v>
      </c>
      <c r="C40" s="439"/>
      <c r="D40" s="1188" t="s">
        <v>532</v>
      </c>
      <c r="E40" s="1188"/>
      <c r="F40" s="1188"/>
      <c r="G40" s="1188"/>
      <c r="H40" s="1188"/>
      <c r="I40" s="1188"/>
      <c r="J40" s="1188"/>
      <c r="K40" s="1188"/>
      <c r="L40" s="1188"/>
      <c r="M40" s="433"/>
    </row>
    <row r="41" spans="2:13" ht="15">
      <c r="B41" s="438"/>
      <c r="C41" s="439"/>
      <c r="E41" s="449"/>
      <c r="F41" s="439"/>
      <c r="G41" s="439"/>
      <c r="H41" s="439"/>
      <c r="I41" s="476"/>
      <c r="J41" s="476"/>
      <c r="K41" s="476"/>
      <c r="L41" s="477"/>
      <c r="M41" s="433"/>
    </row>
    <row r="42" spans="2:14" ht="15">
      <c r="B42" s="438">
        <f>+B40+1</f>
        <v>15</v>
      </c>
      <c r="C42" s="439"/>
      <c r="D42" s="448" t="s">
        <v>534</v>
      </c>
      <c r="E42" s="449" t="str">
        <f>"Line "&amp;B154&amp;" Below"</f>
        <v>Line 86 Below</v>
      </c>
      <c r="F42" s="439"/>
      <c r="H42" s="439"/>
      <c r="I42" s="476"/>
      <c r="J42" s="476"/>
      <c r="K42" s="476"/>
      <c r="L42" s="484">
        <f>+G154</f>
        <v>2786464</v>
      </c>
      <c r="M42" s="449"/>
      <c r="N42" s="429"/>
    </row>
    <row r="43" spans="2:14" ht="15">
      <c r="B43" s="438">
        <f>+B42+1</f>
        <v>16</v>
      </c>
      <c r="C43" s="439"/>
      <c r="D43" s="448" t="s">
        <v>599</v>
      </c>
      <c r="E43" s="433"/>
      <c r="F43" s="439"/>
      <c r="H43" s="439"/>
      <c r="I43" s="476"/>
      <c r="J43" s="476"/>
      <c r="K43" s="476"/>
      <c r="L43" s="1054">
        <f>141059+1215575</f>
        <v>1356634</v>
      </c>
      <c r="M43" s="449"/>
      <c r="N43" s="429"/>
    </row>
    <row r="44" spans="2:14" ht="15">
      <c r="B44" s="438">
        <f>+B43+1</f>
        <v>17</v>
      </c>
      <c r="C44" s="439"/>
      <c r="D44" s="448" t="s">
        <v>600</v>
      </c>
      <c r="E44" s="433"/>
      <c r="F44" s="439"/>
      <c r="H44" s="439"/>
      <c r="I44" s="476"/>
      <c r="J44" s="476"/>
      <c r="K44" s="476"/>
      <c r="L44" s="1054">
        <f>34248+310577</f>
        <v>344825</v>
      </c>
      <c r="M44" s="449"/>
      <c r="N44" s="429"/>
    </row>
    <row r="45" spans="2:14" ht="15">
      <c r="B45" s="438"/>
      <c r="C45" s="439"/>
      <c r="E45" s="433"/>
      <c r="F45" s="439"/>
      <c r="H45" s="439"/>
      <c r="I45" s="476"/>
      <c r="J45" s="476"/>
      <c r="K45" s="476"/>
      <c r="L45" s="439"/>
      <c r="M45" s="449"/>
      <c r="N45" s="429"/>
    </row>
    <row r="46" spans="2:14" ht="15.75" thickBot="1">
      <c r="B46" s="438">
        <f>+B44+1</f>
        <v>18</v>
      </c>
      <c r="C46" s="439"/>
      <c r="D46" s="448" t="s">
        <v>533</v>
      </c>
      <c r="E46" s="451" t="str">
        <f>"(Line "&amp;B42&amp;" - Line "&amp;B43&amp;" - Line "&amp;B44&amp;")"</f>
        <v>(Line 15 - Line 16 - Line 17)</v>
      </c>
      <c r="F46" s="439"/>
      <c r="H46" s="439"/>
      <c r="I46" s="476"/>
      <c r="J46" s="476"/>
      <c r="K46" s="476"/>
      <c r="L46" s="485">
        <f>+L42-L43-L44</f>
        <v>1085005</v>
      </c>
      <c r="M46" s="449"/>
      <c r="N46" s="429"/>
    </row>
    <row r="47" spans="2:14" ht="15.75" thickTop="1">
      <c r="B47" s="438"/>
      <c r="C47" s="439"/>
      <c r="E47" s="449"/>
      <c r="F47" s="439"/>
      <c r="G47" s="439"/>
      <c r="H47" s="439"/>
      <c r="I47" s="476"/>
      <c r="J47" s="476"/>
      <c r="K47" s="476"/>
      <c r="L47" s="477"/>
      <c r="M47" s="449"/>
      <c r="N47" s="429"/>
    </row>
    <row r="48" spans="2:14" ht="15">
      <c r="B48" s="438"/>
      <c r="C48" s="439"/>
      <c r="E48" s="449"/>
      <c r="F48" s="439"/>
      <c r="G48" s="439"/>
      <c r="H48" s="439"/>
      <c r="I48" s="476"/>
      <c r="J48" s="476"/>
      <c r="K48" s="476"/>
      <c r="L48" s="477"/>
      <c r="M48" s="449"/>
      <c r="N48" s="429"/>
    </row>
    <row r="49" spans="2:14" ht="15">
      <c r="B49" s="438"/>
      <c r="C49" s="439"/>
      <c r="E49" s="449"/>
      <c r="F49" s="439"/>
      <c r="G49" s="439"/>
      <c r="H49" s="439"/>
      <c r="I49" s="476"/>
      <c r="J49" s="476"/>
      <c r="K49" s="476"/>
      <c r="L49" s="477"/>
      <c r="M49" s="449"/>
      <c r="N49" s="429"/>
    </row>
    <row r="50" spans="4:14" ht="15">
      <c r="D50" s="430"/>
      <c r="E50" s="430"/>
      <c r="G50" s="451"/>
      <c r="H50" s="430"/>
      <c r="I50" s="430"/>
      <c r="J50" s="430"/>
      <c r="K50" s="430"/>
      <c r="L50" s="430"/>
      <c r="M50" s="486"/>
      <c r="N50" s="429"/>
    </row>
    <row r="51" spans="4:16" ht="15">
      <c r="D51" s="430"/>
      <c r="E51" s="430"/>
      <c r="F51" s="439"/>
      <c r="G51" s="451"/>
      <c r="H51" s="430"/>
      <c r="I51" s="430"/>
      <c r="J51" s="430"/>
      <c r="K51" s="430"/>
      <c r="L51" s="430"/>
      <c r="M51" s="486"/>
      <c r="N51" s="429"/>
      <c r="P51" s="487"/>
    </row>
    <row r="52" spans="4:16" ht="15">
      <c r="D52" s="430"/>
      <c r="E52" s="430"/>
      <c r="F52" s="439" t="str">
        <f>F3</f>
        <v>AEP East Companies </v>
      </c>
      <c r="G52" s="451"/>
      <c r="H52" s="430"/>
      <c r="I52" s="430"/>
      <c r="J52" s="430"/>
      <c r="K52" s="430"/>
      <c r="L52" s="430"/>
      <c r="M52" s="486"/>
      <c r="N52" s="429"/>
      <c r="P52" s="487"/>
    </row>
    <row r="53" spans="4:16" ht="15">
      <c r="D53" s="430"/>
      <c r="E53" s="436"/>
      <c r="F53" s="439" t="str">
        <f>F4</f>
        <v>Transmission Cost of Service Formula Rate</v>
      </c>
      <c r="G53" s="436"/>
      <c r="H53" s="436"/>
      <c r="I53" s="436"/>
      <c r="J53" s="436"/>
      <c r="K53" s="436"/>
      <c r="L53" s="436"/>
      <c r="M53" s="488"/>
      <c r="N53" s="429"/>
      <c r="P53" s="483"/>
    </row>
    <row r="54" spans="4:16" ht="15">
      <c r="D54" s="430"/>
      <c r="E54" s="436"/>
      <c r="F54" s="467" t="str">
        <f>F5</f>
        <v>Utilizing  Actual/Projected FERC Form 1 Data</v>
      </c>
      <c r="G54" s="436"/>
      <c r="H54" s="436"/>
      <c r="I54" s="436"/>
      <c r="J54" s="436"/>
      <c r="K54" s="436"/>
      <c r="L54" s="436"/>
      <c r="M54" s="489"/>
      <c r="N54" s="429"/>
      <c r="P54" s="483"/>
    </row>
    <row r="55" spans="4:16" ht="15">
      <c r="D55" s="430"/>
      <c r="E55" s="436"/>
      <c r="F55" s="439"/>
      <c r="G55" s="436"/>
      <c r="H55" s="436"/>
      <c r="I55" s="436"/>
      <c r="J55" s="436"/>
      <c r="K55" s="436"/>
      <c r="L55" s="436"/>
      <c r="M55" s="454"/>
      <c r="N55" s="429"/>
      <c r="P55" s="483"/>
    </row>
    <row r="56" spans="4:16" ht="15">
      <c r="D56" s="430"/>
      <c r="E56" s="436"/>
      <c r="F56" s="439" t="str">
        <f>F7</f>
        <v>KENTUCKY POWER COMPANY</v>
      </c>
      <c r="G56" s="436"/>
      <c r="H56" s="436"/>
      <c r="I56" s="436"/>
      <c r="J56" s="436"/>
      <c r="K56" s="436"/>
      <c r="L56" s="436"/>
      <c r="M56" s="454"/>
      <c r="N56" s="429"/>
      <c r="P56" s="483"/>
    </row>
    <row r="57" spans="4:16" ht="15">
      <c r="D57" s="430"/>
      <c r="E57" s="467"/>
      <c r="F57" s="467"/>
      <c r="G57" s="467"/>
      <c r="H57" s="467"/>
      <c r="I57" s="467"/>
      <c r="J57" s="467"/>
      <c r="K57" s="467"/>
      <c r="L57" s="436"/>
      <c r="M57" s="454"/>
      <c r="N57" s="429"/>
      <c r="P57" s="483"/>
    </row>
    <row r="58" spans="4:14" ht="15">
      <c r="D58" s="439" t="s">
        <v>153</v>
      </c>
      <c r="E58" s="439" t="s">
        <v>154</v>
      </c>
      <c r="F58" s="439"/>
      <c r="G58" s="439" t="s">
        <v>155</v>
      </c>
      <c r="H58" s="436" t="s">
        <v>146</v>
      </c>
      <c r="I58" s="1183" t="s">
        <v>156</v>
      </c>
      <c r="J58" s="1184"/>
      <c r="K58" s="436"/>
      <c r="L58" s="440" t="s">
        <v>157</v>
      </c>
      <c r="M58" s="454"/>
      <c r="N58" s="429"/>
    </row>
    <row r="59" spans="2:14" ht="15">
      <c r="B59" s="424"/>
      <c r="D59" s="479"/>
      <c r="E59" s="479"/>
      <c r="F59" s="479"/>
      <c r="G59" s="484"/>
      <c r="H59" s="436"/>
      <c r="I59" s="436"/>
      <c r="J59" s="491"/>
      <c r="K59" s="436"/>
      <c r="M59" s="454"/>
      <c r="N59" s="429"/>
    </row>
    <row r="60" spans="2:16" ht="15.75">
      <c r="B60" s="492"/>
      <c r="C60" s="439"/>
      <c r="D60" s="479"/>
      <c r="E60" s="493" t="s">
        <v>126</v>
      </c>
      <c r="F60" s="494"/>
      <c r="G60" s="436"/>
      <c r="H60" s="436"/>
      <c r="I60" s="436"/>
      <c r="J60" s="439"/>
      <c r="K60" s="436"/>
      <c r="L60" s="495" t="s">
        <v>150</v>
      </c>
      <c r="M60" s="454"/>
      <c r="N60" s="429"/>
      <c r="P60" s="487"/>
    </row>
    <row r="61" spans="2:14" ht="15.75">
      <c r="B61" s="424"/>
      <c r="C61" s="446"/>
      <c r="D61" s="496" t="s">
        <v>125</v>
      </c>
      <c r="E61" s="497" t="s">
        <v>144</v>
      </c>
      <c r="F61" s="436"/>
      <c r="G61" s="496" t="s">
        <v>112</v>
      </c>
      <c r="H61" s="498"/>
      <c r="I61" s="1185" t="s">
        <v>151</v>
      </c>
      <c r="J61" s="1186"/>
      <c r="K61" s="498"/>
      <c r="L61" s="496" t="s">
        <v>147</v>
      </c>
      <c r="M61" s="454"/>
      <c r="N61" s="429"/>
    </row>
    <row r="62" spans="2:14" ht="15">
      <c r="B62" s="499" t="str">
        <f>B9</f>
        <v>Line</v>
      </c>
      <c r="C62" s="439"/>
      <c r="D62" s="430"/>
      <c r="E62" s="436"/>
      <c r="F62" s="436"/>
      <c r="G62" s="500" t="s">
        <v>435</v>
      </c>
      <c r="H62" s="436"/>
      <c r="I62" s="436"/>
      <c r="J62" s="436"/>
      <c r="K62" s="436"/>
      <c r="L62" s="436"/>
      <c r="M62" s="454"/>
      <c r="N62" s="429"/>
    </row>
    <row r="63" spans="2:14" ht="15.75" thickBot="1">
      <c r="B63" s="445" t="str">
        <f>B10</f>
        <v>No.</v>
      </c>
      <c r="C63" s="439"/>
      <c r="D63" s="430" t="s">
        <v>113</v>
      </c>
      <c r="E63" s="501"/>
      <c r="F63" s="501"/>
      <c r="G63" s="454"/>
      <c r="H63" s="454"/>
      <c r="I63" s="458"/>
      <c r="J63" s="454"/>
      <c r="K63" s="454"/>
      <c r="L63" s="454"/>
      <c r="M63" s="454"/>
      <c r="N63" s="429"/>
    </row>
    <row r="64" spans="2:14" ht="15">
      <c r="B64" s="438">
        <f>+B46+1</f>
        <v>19</v>
      </c>
      <c r="C64" s="439"/>
      <c r="D64" s="502" t="s">
        <v>158</v>
      </c>
      <c r="E64" s="454" t="str">
        <f>"(Worksheet A ln "&amp;'KP WS A  - RB Support '!A14&amp;".E)"</f>
        <v>(Worksheet A ln 1.E)</v>
      </c>
      <c r="F64" s="454"/>
      <c r="G64" s="472">
        <f>+'KP WS A  - RB Support '!G14</f>
        <v>1188773639</v>
      </c>
      <c r="H64" s="472"/>
      <c r="I64" s="458" t="s">
        <v>159</v>
      </c>
      <c r="J64" s="459">
        <v>0</v>
      </c>
      <c r="K64" s="454"/>
      <c r="L64" s="472">
        <f>+J64*G64</f>
        <v>0</v>
      </c>
      <c r="M64" s="454"/>
      <c r="N64" s="429"/>
    </row>
    <row r="65" spans="2:14" ht="15">
      <c r="B65" s="438">
        <f>+B64+1</f>
        <v>20</v>
      </c>
      <c r="C65" s="439"/>
      <c r="D65" s="502" t="s">
        <v>478</v>
      </c>
      <c r="E65" s="454" t="str">
        <f>"(Worksheet A ln "&amp;'KP WS A  - RB Support '!A16&amp;".E)"</f>
        <v>(Worksheet A ln 2.E)</v>
      </c>
      <c r="F65" s="454"/>
      <c r="G65" s="503">
        <f>-'KP WS A  - RB Support '!G16</f>
        <v>-10271623</v>
      </c>
      <c r="H65" s="472"/>
      <c r="I65" s="458" t="s">
        <v>159</v>
      </c>
      <c r="J65" s="459">
        <v>0</v>
      </c>
      <c r="K65" s="454"/>
      <c r="L65" s="472">
        <f>+J65*G65</f>
        <v>0</v>
      </c>
      <c r="M65" s="454"/>
      <c r="N65" s="429"/>
    </row>
    <row r="66" spans="2:14" ht="15">
      <c r="B66" s="438">
        <f aca="true" t="shared" si="0" ref="B66:B74">+B65+1</f>
        <v>21</v>
      </c>
      <c r="C66" s="504"/>
      <c r="D66" s="505" t="s">
        <v>160</v>
      </c>
      <c r="E66" s="454" t="str">
        <f>"(Worksheet A ln "&amp;'KP WS A  - RB Support '!A18&amp;".E &amp; Ln "&amp;B239&amp;")"</f>
        <v>(Worksheet A ln 3.E &amp; Ln 147)</v>
      </c>
      <c r="F66" s="506"/>
      <c r="G66" s="472">
        <f>+'KP WS A  - RB Support '!G18</f>
        <v>578645753.5</v>
      </c>
      <c r="H66" s="472"/>
      <c r="I66" s="507" t="s">
        <v>161</v>
      </c>
      <c r="J66" s="459" t="s">
        <v>146</v>
      </c>
      <c r="K66" s="508"/>
      <c r="L66" s="509">
        <f>+L239</f>
        <v>568447496.5</v>
      </c>
      <c r="M66" s="508"/>
      <c r="N66" s="429"/>
    </row>
    <row r="67" spans="2:14" ht="15">
      <c r="B67" s="438">
        <f t="shared" si="0"/>
        <v>22</v>
      </c>
      <c r="C67" s="504"/>
      <c r="D67" s="510" t="s">
        <v>479</v>
      </c>
      <c r="E67" s="454" t="str">
        <f>"(Worksheet A ln "&amp;'KP WS A  - RB Support '!A20&amp;".E)"</f>
        <v>(Worksheet A ln 4.E)</v>
      </c>
      <c r="F67" s="506"/>
      <c r="G67" s="472">
        <f>-+'KP WS A  - RB Support '!G20</f>
        <v>0</v>
      </c>
      <c r="H67" s="472"/>
      <c r="I67" s="507" t="s">
        <v>152</v>
      </c>
      <c r="J67" s="459">
        <f>L241</f>
        <v>0.982375647037389</v>
      </c>
      <c r="K67" s="508"/>
      <c r="L67" s="509">
        <f>+G67*J67</f>
        <v>0</v>
      </c>
      <c r="M67" s="508"/>
      <c r="N67" s="429"/>
    </row>
    <row r="68" spans="2:14" ht="15.75">
      <c r="B68" s="438">
        <f>+B67+1</f>
        <v>23</v>
      </c>
      <c r="C68" s="504"/>
      <c r="D68" s="511" t="s">
        <v>714</v>
      </c>
      <c r="E68" s="506"/>
      <c r="F68" s="506"/>
      <c r="G68" s="512" t="s">
        <v>475</v>
      </c>
      <c r="H68" s="479"/>
      <c r="I68" s="507" t="s">
        <v>159</v>
      </c>
      <c r="J68" s="459">
        <v>0</v>
      </c>
      <c r="K68" s="508"/>
      <c r="L68" s="512" t="s">
        <v>475</v>
      </c>
      <c r="M68" s="508"/>
      <c r="N68" s="429"/>
    </row>
    <row r="69" spans="2:16" ht="15.75">
      <c r="B69" s="438">
        <f>+B68+1</f>
        <v>24</v>
      </c>
      <c r="C69" s="504"/>
      <c r="D69" s="511" t="s">
        <v>714</v>
      </c>
      <c r="E69" s="501"/>
      <c r="F69" s="454"/>
      <c r="G69" s="512" t="s">
        <v>475</v>
      </c>
      <c r="H69" s="479"/>
      <c r="I69" s="467" t="s">
        <v>159</v>
      </c>
      <c r="J69" s="459">
        <v>0</v>
      </c>
      <c r="K69" s="436"/>
      <c r="L69" s="512" t="s">
        <v>475</v>
      </c>
      <c r="M69" s="508"/>
      <c r="N69" s="429"/>
      <c r="P69" s="513"/>
    </row>
    <row r="70" spans="2:14" ht="15">
      <c r="B70" s="438">
        <f>+B69+1</f>
        <v>25</v>
      </c>
      <c r="C70" s="504"/>
      <c r="D70" s="430" t="s">
        <v>162</v>
      </c>
      <c r="E70" s="454" t="str">
        <f>"(Worksheet A ln "&amp;'KP WS A  - RB Support '!A22&amp;".E)"</f>
        <v>(Worksheet A ln 5.E)</v>
      </c>
      <c r="F70" s="454"/>
      <c r="G70" s="472">
        <f>+'KP WS A  - RB Support '!G22</f>
        <v>804748310</v>
      </c>
      <c r="H70" s="472"/>
      <c r="I70" s="458" t="s">
        <v>159</v>
      </c>
      <c r="J70" s="459">
        <v>0</v>
      </c>
      <c r="K70" s="454"/>
      <c r="L70" s="472">
        <f>+J70*G70</f>
        <v>0</v>
      </c>
      <c r="M70" s="454"/>
      <c r="N70" s="429"/>
    </row>
    <row r="71" spans="2:14" ht="15">
      <c r="B71" s="438">
        <f t="shared" si="0"/>
        <v>26</v>
      </c>
      <c r="C71" s="504"/>
      <c r="D71" s="502" t="s">
        <v>476</v>
      </c>
      <c r="E71" s="454" t="str">
        <f>"(Worksheet A ln "&amp;'KP WS A  - RB Support '!A24&amp;".E)"</f>
        <v>(Worksheet A ln 6.E)</v>
      </c>
      <c r="F71" s="454"/>
      <c r="G71" s="503">
        <f>-+'KP WS A  - RB Support '!G24</f>
        <v>0</v>
      </c>
      <c r="H71" s="472"/>
      <c r="I71" s="458" t="s">
        <v>159</v>
      </c>
      <c r="J71" s="459">
        <v>0</v>
      </c>
      <c r="K71" s="454"/>
      <c r="L71" s="472">
        <f>+G71*J71</f>
        <v>0</v>
      </c>
      <c r="M71" s="454"/>
      <c r="N71" s="429"/>
    </row>
    <row r="72" spans="2:14" ht="15">
      <c r="B72" s="438">
        <f t="shared" si="0"/>
        <v>27</v>
      </c>
      <c r="C72" s="504"/>
      <c r="D72" s="430" t="s">
        <v>163</v>
      </c>
      <c r="E72" s="454" t="str">
        <f>"(Worksheet A ln "&amp;'KP WS A  - RB Support '!A26&amp;".E)"</f>
        <v>(Worksheet A ln 7.E)</v>
      </c>
      <c r="F72" s="454"/>
      <c r="G72" s="472">
        <f>+'KP WS A  - RB Support '!G26</f>
        <v>39431099</v>
      </c>
      <c r="H72" s="472"/>
      <c r="I72" s="458" t="s">
        <v>164</v>
      </c>
      <c r="J72" s="459">
        <f>L251</f>
        <v>0.06815939480383283</v>
      </c>
      <c r="K72" s="454"/>
      <c r="L72" s="472">
        <f>+J72*G72</f>
        <v>2687599.844290018</v>
      </c>
      <c r="M72" s="454"/>
      <c r="N72" s="429"/>
    </row>
    <row r="73" spans="2:14" ht="15">
      <c r="B73" s="438">
        <f t="shared" si="0"/>
        <v>28</v>
      </c>
      <c r="C73" s="504"/>
      <c r="D73" s="502" t="s">
        <v>477</v>
      </c>
      <c r="E73" s="454" t="str">
        <f>"(Worksheet A ln "&amp;'KP WS A  - RB Support '!A28&amp;".E)"</f>
        <v>(Worksheet A ln 8.E)</v>
      </c>
      <c r="F73" s="454"/>
      <c r="G73" s="503">
        <f>-'KP WS A  - RB Support '!G28</f>
        <v>0</v>
      </c>
      <c r="H73" s="472"/>
      <c r="I73" s="458" t="s">
        <v>164</v>
      </c>
      <c r="J73" s="459">
        <f>L251</f>
        <v>0.06815939480383283</v>
      </c>
      <c r="K73" s="454"/>
      <c r="L73" s="472">
        <f>+G73*J73</f>
        <v>0</v>
      </c>
      <c r="M73" s="454"/>
      <c r="N73" s="429"/>
    </row>
    <row r="74" spans="2:15" ht="15.75" thickBot="1">
      <c r="B74" s="438">
        <f t="shared" si="0"/>
        <v>29</v>
      </c>
      <c r="C74" s="504"/>
      <c r="D74" s="430" t="s">
        <v>165</v>
      </c>
      <c r="E74" s="454" t="str">
        <f>"(Worksheet A ln "&amp;'KP WS A  - RB Support '!A30&amp;".E)"</f>
        <v>(Worksheet A ln 9.E)</v>
      </c>
      <c r="F74" s="454"/>
      <c r="G74" s="514">
        <f>+'KP WS A  - RB Support '!G30</f>
        <v>25813984.5</v>
      </c>
      <c r="H74" s="472"/>
      <c r="I74" s="458" t="s">
        <v>164</v>
      </c>
      <c r="J74" s="459">
        <f>L251</f>
        <v>0.06815939480383283</v>
      </c>
      <c r="K74" s="454"/>
      <c r="L74" s="514">
        <f>+J74*G74</f>
        <v>1759465.5609955213</v>
      </c>
      <c r="M74" s="454"/>
      <c r="N74" s="475"/>
      <c r="O74" s="430"/>
    </row>
    <row r="75" spans="2:15" ht="15.75">
      <c r="B75" s="438">
        <f>+B74+1</f>
        <v>30</v>
      </c>
      <c r="C75" s="504"/>
      <c r="D75" s="430" t="s">
        <v>73</v>
      </c>
      <c r="E75" s="439" t="str">
        <f>"(sum lns "&amp;B64&amp;" to "&amp;B74&amp;")"</f>
        <v>(sum lns 19 to 29)</v>
      </c>
      <c r="F75" s="515"/>
      <c r="G75" s="472">
        <f>SUM(G64:G74)</f>
        <v>2627141163</v>
      </c>
      <c r="H75" s="472"/>
      <c r="I75" s="516" t="s">
        <v>661</v>
      </c>
      <c r="J75" s="517">
        <f>+L75/G75</f>
        <v>0.21806767370318333</v>
      </c>
      <c r="K75" s="454"/>
      <c r="L75" s="472">
        <f>SUM(L64:L74)</f>
        <v>572894561.9052856</v>
      </c>
      <c r="M75" s="454"/>
      <c r="N75" s="475"/>
      <c r="O75" s="430"/>
    </row>
    <row r="76" spans="2:15" ht="15.75">
      <c r="B76" s="438"/>
      <c r="C76" s="439"/>
      <c r="D76" s="430"/>
      <c r="E76" s="490"/>
      <c r="F76" s="515"/>
      <c r="G76" s="472"/>
      <c r="H76" s="472"/>
      <c r="I76" s="516" t="s">
        <v>282</v>
      </c>
      <c r="J76" s="518">
        <f>+L66/(G70+G66+G71)</f>
        <v>0.4109078616846327</v>
      </c>
      <c r="K76" s="454"/>
      <c r="L76" s="472"/>
      <c r="M76" s="454"/>
      <c r="N76" s="519"/>
      <c r="O76" s="430"/>
    </row>
    <row r="77" spans="2:15" ht="15">
      <c r="B77" s="438">
        <f>+B75+1</f>
        <v>31</v>
      </c>
      <c r="C77" s="439"/>
      <c r="D77" s="430" t="s">
        <v>42</v>
      </c>
      <c r="E77" s="501"/>
      <c r="F77" s="501"/>
      <c r="G77" s="472"/>
      <c r="H77" s="520"/>
      <c r="I77" s="458"/>
      <c r="J77" s="521"/>
      <c r="K77" s="454"/>
      <c r="L77" s="472"/>
      <c r="M77" s="454"/>
      <c r="N77" s="454"/>
      <c r="O77" s="436"/>
    </row>
    <row r="78" spans="2:15" ht="15">
      <c r="B78" s="438">
        <f>+B77+1</f>
        <v>32</v>
      </c>
      <c r="C78" s="439"/>
      <c r="D78" s="502" t="str">
        <f>+D64</f>
        <v>  Production</v>
      </c>
      <c r="E78" s="454" t="str">
        <f>"(Worksheet A ln "&amp;'KP WS A  - RB Support '!A38&amp;".E)"</f>
        <v>(Worksheet A ln 12.E)</v>
      </c>
      <c r="F78" s="454"/>
      <c r="G78" s="472">
        <f>+'KP WS A  - RB Support '!G38</f>
        <v>417916371.5</v>
      </c>
      <c r="H78" s="472"/>
      <c r="I78" s="458" t="s">
        <v>159</v>
      </c>
      <c r="J78" s="459">
        <v>0</v>
      </c>
      <c r="K78" s="454"/>
      <c r="L78" s="472">
        <f>+J78*G78</f>
        <v>0</v>
      </c>
      <c r="M78" s="454"/>
      <c r="N78" s="454"/>
      <c r="O78" s="436"/>
    </row>
    <row r="79" spans="2:15" ht="15">
      <c r="B79" s="438">
        <f aca="true" t="shared" si="1" ref="B79:B92">+B78+1</f>
        <v>33</v>
      </c>
      <c r="C79" s="439"/>
      <c r="D79" s="502" t="s">
        <v>478</v>
      </c>
      <c r="E79" s="454" t="str">
        <f>"(Worksheet A ln "&amp;'KP WS A  - RB Support '!A40&amp;".E)"</f>
        <v>(Worksheet A ln 13.E)</v>
      </c>
      <c r="F79" s="454"/>
      <c r="G79" s="503">
        <f>-+'KP WS A  - RB Support '!G40</f>
        <v>-2492000</v>
      </c>
      <c r="H79" s="472"/>
      <c r="I79" s="458" t="s">
        <v>159</v>
      </c>
      <c r="J79" s="459">
        <v>0</v>
      </c>
      <c r="K79" s="454"/>
      <c r="L79" s="472">
        <f>+J79*G79</f>
        <v>0</v>
      </c>
      <c r="M79" s="454"/>
      <c r="N79" s="454"/>
      <c r="O79" s="436"/>
    </row>
    <row r="80" spans="2:15" ht="15.75">
      <c r="B80" s="438">
        <f t="shared" si="1"/>
        <v>34</v>
      </c>
      <c r="C80" s="504"/>
      <c r="D80" s="505" t="str">
        <f>D66</f>
        <v>  Transmission</v>
      </c>
      <c r="E80" s="454" t="s">
        <v>30</v>
      </c>
      <c r="F80" s="506"/>
      <c r="G80" s="509">
        <f>+'KP WS A  - RB Support '!G42</f>
        <v>194893197</v>
      </c>
      <c r="H80" s="472"/>
      <c r="I80" s="522" t="s">
        <v>45</v>
      </c>
      <c r="J80" s="523">
        <f>L80/G80</f>
        <v>0.9724528763310296</v>
      </c>
      <c r="K80" s="508"/>
      <c r="L80" s="472">
        <f>+'KP WS A  - RB Support '!G74</f>
        <v>189524450</v>
      </c>
      <c r="M80" s="508"/>
      <c r="N80" s="454"/>
      <c r="O80" s="436"/>
    </row>
    <row r="81" spans="2:15" ht="15.75">
      <c r="B81" s="438">
        <f t="shared" si="1"/>
        <v>35</v>
      </c>
      <c r="C81" s="504"/>
      <c r="D81" s="502" t="s">
        <v>479</v>
      </c>
      <c r="E81" s="454" t="str">
        <f>"(Worksheet A ln "&amp;'KP WS A  - RB Support '!A44&amp;".E)"</f>
        <v>(Worksheet A ln 15.E)</v>
      </c>
      <c r="F81" s="506"/>
      <c r="G81" s="503">
        <f>-'KP WS A  - RB Support '!G44</f>
        <v>0</v>
      </c>
      <c r="H81" s="472"/>
      <c r="I81" s="522" t="s">
        <v>45</v>
      </c>
      <c r="J81" s="459">
        <f>+J80</f>
        <v>0.9724528763310296</v>
      </c>
      <c r="K81" s="508"/>
      <c r="L81" s="472">
        <f aca="true" t="shared" si="2" ref="L81:L91">+J81*G81</f>
        <v>0</v>
      </c>
      <c r="M81" s="508"/>
      <c r="N81" s="454"/>
      <c r="O81" s="436"/>
    </row>
    <row r="82" spans="2:15" ht="15.75">
      <c r="B82" s="438">
        <f t="shared" si="1"/>
        <v>36</v>
      </c>
      <c r="C82" s="504"/>
      <c r="D82" s="511" t="s">
        <v>714</v>
      </c>
      <c r="E82" s="506"/>
      <c r="F82" s="506"/>
      <c r="G82" s="512" t="s">
        <v>475</v>
      </c>
      <c r="H82" s="479"/>
      <c r="I82" s="507" t="s">
        <v>161</v>
      </c>
      <c r="J82" s="459">
        <v>0</v>
      </c>
      <c r="K82" s="508"/>
      <c r="L82" s="512" t="s">
        <v>475</v>
      </c>
      <c r="M82" s="508"/>
      <c r="N82" s="454"/>
      <c r="O82" s="436"/>
    </row>
    <row r="83" spans="2:15" ht="15.75">
      <c r="B83" s="438">
        <f t="shared" si="1"/>
        <v>37</v>
      </c>
      <c r="C83" s="504"/>
      <c r="D83" s="511" t="s">
        <v>714</v>
      </c>
      <c r="E83" s="506"/>
      <c r="F83" s="506"/>
      <c r="G83" s="512" t="s">
        <v>475</v>
      </c>
      <c r="H83" s="479"/>
      <c r="I83" s="507" t="s">
        <v>161</v>
      </c>
      <c r="J83" s="459">
        <v>0</v>
      </c>
      <c r="K83" s="508"/>
      <c r="L83" s="512" t="s">
        <v>475</v>
      </c>
      <c r="M83" s="508"/>
      <c r="N83" s="454"/>
      <c r="O83" s="436"/>
    </row>
    <row r="84" spans="2:15" ht="15.75">
      <c r="B84" s="438">
        <f t="shared" si="1"/>
        <v>38</v>
      </c>
      <c r="C84" s="504"/>
      <c r="D84" s="511" t="s">
        <v>714</v>
      </c>
      <c r="E84" s="506"/>
      <c r="F84" s="506"/>
      <c r="G84" s="512" t="s">
        <v>475</v>
      </c>
      <c r="H84" s="479"/>
      <c r="I84" s="507" t="s">
        <v>152</v>
      </c>
      <c r="J84" s="459">
        <v>0</v>
      </c>
      <c r="K84" s="508"/>
      <c r="L84" s="512" t="s">
        <v>475</v>
      </c>
      <c r="M84" s="508"/>
      <c r="N84" s="454"/>
      <c r="O84" s="436"/>
    </row>
    <row r="85" spans="2:15" ht="15.75">
      <c r="B85" s="438">
        <f t="shared" si="1"/>
        <v>39</v>
      </c>
      <c r="C85" s="504"/>
      <c r="D85" s="511" t="s">
        <v>714</v>
      </c>
      <c r="E85" s="506"/>
      <c r="F85" s="506"/>
      <c r="G85" s="512" t="s">
        <v>475</v>
      </c>
      <c r="H85" s="479"/>
      <c r="I85" s="507" t="s">
        <v>164</v>
      </c>
      <c r="J85" s="459">
        <v>0</v>
      </c>
      <c r="K85" s="508"/>
      <c r="L85" s="512" t="s">
        <v>475</v>
      </c>
      <c r="M85" s="508"/>
      <c r="N85" s="454"/>
      <c r="O85" s="436"/>
    </row>
    <row r="86" spans="2:15" ht="15.75">
      <c r="B86" s="438">
        <f t="shared" si="1"/>
        <v>40</v>
      </c>
      <c r="C86" s="504"/>
      <c r="D86" s="511" t="s">
        <v>714</v>
      </c>
      <c r="E86" s="506"/>
      <c r="F86" s="506"/>
      <c r="G86" s="512" t="s">
        <v>475</v>
      </c>
      <c r="H86" s="479"/>
      <c r="I86" s="507" t="s">
        <v>161</v>
      </c>
      <c r="J86" s="459">
        <v>0</v>
      </c>
      <c r="K86" s="508"/>
      <c r="L86" s="512" t="s">
        <v>475</v>
      </c>
      <c r="M86" s="508"/>
      <c r="N86" s="454"/>
      <c r="O86" s="436"/>
    </row>
    <row r="87" spans="2:15" ht="15">
      <c r="B87" s="438">
        <f t="shared" si="1"/>
        <v>41</v>
      </c>
      <c r="C87" s="504"/>
      <c r="D87" s="430" t="str">
        <f>+D70</f>
        <v>  Distribution</v>
      </c>
      <c r="E87" s="454" t="str">
        <f>"(Worksheet A ln "&amp;'KP WS A  - RB Support '!A46&amp;".E)"</f>
        <v>(Worksheet A ln 16.E)</v>
      </c>
      <c r="F87" s="454"/>
      <c r="G87" s="472">
        <f>+'KP WS A  - RB Support '!G46</f>
        <v>235781378</v>
      </c>
      <c r="H87" s="472"/>
      <c r="I87" s="458" t="s">
        <v>159</v>
      </c>
      <c r="J87" s="459">
        <v>0</v>
      </c>
      <c r="K87" s="454"/>
      <c r="L87" s="472">
        <f t="shared" si="2"/>
        <v>0</v>
      </c>
      <c r="M87" s="454"/>
      <c r="N87" s="454"/>
      <c r="O87" s="436"/>
    </row>
    <row r="88" spans="2:15" ht="15">
      <c r="B88" s="438">
        <f t="shared" si="1"/>
        <v>42</v>
      </c>
      <c r="C88" s="504"/>
      <c r="D88" s="502" t="s">
        <v>476</v>
      </c>
      <c r="E88" s="454" t="str">
        <f>"(Worksheet A ln "&amp;'KP WS A  - RB Support '!A48&amp;".E)"</f>
        <v>(Worksheet A ln 17.E)</v>
      </c>
      <c r="F88" s="454"/>
      <c r="G88" s="503">
        <f>-'KP WS A  - RB Support '!G48</f>
        <v>0</v>
      </c>
      <c r="H88" s="472"/>
      <c r="I88" s="458" t="s">
        <v>159</v>
      </c>
      <c r="J88" s="459">
        <v>0</v>
      </c>
      <c r="K88" s="454"/>
      <c r="L88" s="472">
        <f t="shared" si="2"/>
        <v>0</v>
      </c>
      <c r="M88" s="454"/>
      <c r="N88" s="454"/>
      <c r="O88" s="436"/>
    </row>
    <row r="89" spans="2:15" ht="15">
      <c r="B89" s="438">
        <f t="shared" si="1"/>
        <v>43</v>
      </c>
      <c r="C89" s="524"/>
      <c r="D89" s="475" t="str">
        <f>+D72</f>
        <v>  General Plant   </v>
      </c>
      <c r="E89" s="454" t="str">
        <f>"(Worksheet A ln "&amp;'KP WS A  - RB Support '!A50&amp;".E)"</f>
        <v>(Worksheet A ln 18.E)</v>
      </c>
      <c r="F89" s="454"/>
      <c r="G89" s="457">
        <f>+'KP WS A  - RB Support '!G50</f>
        <v>12048235.5</v>
      </c>
      <c r="H89" s="472"/>
      <c r="I89" s="458" t="s">
        <v>164</v>
      </c>
      <c r="J89" s="459">
        <f>L251</f>
        <v>0.06815939480383283</v>
      </c>
      <c r="K89" s="454"/>
      <c r="L89" s="472">
        <f t="shared" si="2"/>
        <v>821200.4401340543</v>
      </c>
      <c r="M89" s="454"/>
      <c r="N89" s="454"/>
      <c r="O89" s="436"/>
    </row>
    <row r="90" spans="2:15" ht="15">
      <c r="B90" s="438">
        <f t="shared" si="1"/>
        <v>44</v>
      </c>
      <c r="C90" s="524"/>
      <c r="D90" s="502" t="s">
        <v>477</v>
      </c>
      <c r="E90" s="454" t="str">
        <f>"(Worksheet A ln "&amp;'KP WS A  - RB Support '!A52&amp;".E)"</f>
        <v>(Worksheet A ln 19.E)</v>
      </c>
      <c r="F90" s="454"/>
      <c r="G90" s="503">
        <f>-'KP WS A  - RB Support '!G52</f>
        <v>0</v>
      </c>
      <c r="H90" s="472"/>
      <c r="I90" s="458" t="s">
        <v>164</v>
      </c>
      <c r="J90" s="459">
        <f>L251</f>
        <v>0.06815939480383283</v>
      </c>
      <c r="K90" s="454"/>
      <c r="L90" s="472">
        <f t="shared" si="2"/>
        <v>0</v>
      </c>
      <c r="M90" s="454"/>
      <c r="N90" s="454"/>
      <c r="O90" s="436"/>
    </row>
    <row r="91" spans="2:15" ht="15.75" thickBot="1">
      <c r="B91" s="438">
        <f t="shared" si="1"/>
        <v>45</v>
      </c>
      <c r="C91" s="524"/>
      <c r="D91" s="475" t="str">
        <f>+D74</f>
        <v>  Intangible Plant</v>
      </c>
      <c r="E91" s="454" t="str">
        <f>"(Worksheet A ln "&amp;'KP WS A  - RB Support '!A54&amp;".E)"</f>
        <v>(Worksheet A ln 20.E)</v>
      </c>
      <c r="F91" s="454"/>
      <c r="G91" s="514">
        <f>+'KP WS A  - RB Support '!G54</f>
        <v>12854178.5</v>
      </c>
      <c r="H91" s="472"/>
      <c r="I91" s="458" t="s">
        <v>164</v>
      </c>
      <c r="J91" s="459">
        <f>L251</f>
        <v>0.06815939480383283</v>
      </c>
      <c r="K91" s="454"/>
      <c r="L91" s="514">
        <f t="shared" si="2"/>
        <v>876133.0272604397</v>
      </c>
      <c r="M91" s="454"/>
      <c r="N91" s="454"/>
      <c r="O91" s="436"/>
    </row>
    <row r="92" spans="2:15" ht="15">
      <c r="B92" s="438">
        <f t="shared" si="1"/>
        <v>46</v>
      </c>
      <c r="C92" s="524"/>
      <c r="D92" s="475" t="s">
        <v>72</v>
      </c>
      <c r="E92" s="525" t="str">
        <f>"(sum lns "&amp;B78&amp;" to "&amp;B91&amp;")"</f>
        <v>(sum lns 32 to 45)</v>
      </c>
      <c r="F92" s="526"/>
      <c r="G92" s="472">
        <f>SUM(G78:G91)</f>
        <v>871001360.5</v>
      </c>
      <c r="H92" s="472"/>
      <c r="I92" s="458"/>
      <c r="J92" s="454"/>
      <c r="K92" s="472"/>
      <c r="L92" s="472">
        <f>SUM(L78:L91)</f>
        <v>191221783.4673945</v>
      </c>
      <c r="M92" s="454"/>
      <c r="N92" s="454"/>
      <c r="O92" s="436"/>
    </row>
    <row r="93" spans="2:15" ht="15">
      <c r="B93" s="438"/>
      <c r="C93" s="439"/>
      <c r="E93" s="527"/>
      <c r="F93" s="526"/>
      <c r="G93" s="472"/>
      <c r="H93" s="472"/>
      <c r="I93" s="458"/>
      <c r="J93" s="528"/>
      <c r="K93" s="454"/>
      <c r="L93" s="472"/>
      <c r="M93" s="454"/>
      <c r="N93" s="454"/>
      <c r="O93" s="436"/>
    </row>
    <row r="94" spans="2:15" ht="15">
      <c r="B94" s="438">
        <f>+B92+1</f>
        <v>47</v>
      </c>
      <c r="C94" s="439"/>
      <c r="D94" s="430" t="s">
        <v>114</v>
      </c>
      <c r="E94" s="501"/>
      <c r="F94" s="501"/>
      <c r="G94" s="472"/>
      <c r="H94" s="472"/>
      <c r="I94" s="458"/>
      <c r="J94" s="454"/>
      <c r="K94" s="454"/>
      <c r="L94" s="472"/>
      <c r="M94" s="454"/>
      <c r="N94" s="454"/>
      <c r="O94" s="436"/>
    </row>
    <row r="95" spans="2:15" ht="15">
      <c r="B95" s="438">
        <f aca="true" t="shared" si="3" ref="B95:B105">+B94+1</f>
        <v>48</v>
      </c>
      <c r="C95" s="504"/>
      <c r="D95" s="502" t="str">
        <f>+D78</f>
        <v>  Production</v>
      </c>
      <c r="E95" s="454" t="str">
        <f>" (ln "&amp;B64&amp;" + ln "&amp;B65&amp;" - ln "&amp;B78&amp;" - ln "&amp;B79&amp;")"</f>
        <v> (ln 19 + ln 20 - ln 32 - ln 33)</v>
      </c>
      <c r="F95" s="454"/>
      <c r="G95" s="472">
        <f>G64+G65-G78-G79</f>
        <v>763077644.5</v>
      </c>
      <c r="H95" s="472"/>
      <c r="I95" s="458"/>
      <c r="J95" s="529"/>
      <c r="K95" s="454"/>
      <c r="L95" s="472">
        <f>L64+L65-L78-L79</f>
        <v>0</v>
      </c>
      <c r="M95" s="454"/>
      <c r="N95" s="454"/>
      <c r="O95" s="436"/>
    </row>
    <row r="96" spans="2:15" ht="15">
      <c r="B96" s="438">
        <f t="shared" si="3"/>
        <v>49</v>
      </c>
      <c r="C96" s="504"/>
      <c r="D96" s="502" t="str">
        <f>+D80</f>
        <v>  Transmission</v>
      </c>
      <c r="E96" s="454" t="str">
        <f>" (ln "&amp;B66&amp;" + ln "&amp;B67&amp;" - ln "&amp;B80&amp;" - ln "&amp;B81&amp;")"</f>
        <v> (ln 21 + ln 22 - ln 34 - ln 35)</v>
      </c>
      <c r="F96" s="454"/>
      <c r="G96" s="472">
        <f>+G66+G67-G80-G81</f>
        <v>383752556.5</v>
      </c>
      <c r="H96" s="472"/>
      <c r="I96" s="458"/>
      <c r="J96" s="523"/>
      <c r="K96" s="454"/>
      <c r="L96" s="472">
        <f>+L66+L67-L80-L81</f>
        <v>378923046.5</v>
      </c>
      <c r="M96" s="454"/>
      <c r="N96" s="454"/>
      <c r="O96" s="436"/>
    </row>
    <row r="97" spans="2:15" ht="15.75">
      <c r="B97" s="438">
        <f aca="true" t="shared" si="4" ref="B97:B102">+B96+1</f>
        <v>50</v>
      </c>
      <c r="C97" s="504"/>
      <c r="D97" s="511" t="s">
        <v>714</v>
      </c>
      <c r="E97" s="454"/>
      <c r="F97" s="454"/>
      <c r="G97" s="512" t="s">
        <v>475</v>
      </c>
      <c r="H97" s="530"/>
      <c r="I97" s="467"/>
      <c r="J97" s="531"/>
      <c r="K97" s="436"/>
      <c r="L97" s="512" t="s">
        <v>475</v>
      </c>
      <c r="M97" s="454"/>
      <c r="N97" s="454"/>
      <c r="O97" s="436"/>
    </row>
    <row r="98" spans="2:15" ht="15.75">
      <c r="B98" s="438">
        <f t="shared" si="4"/>
        <v>51</v>
      </c>
      <c r="C98" s="504"/>
      <c r="D98" s="511" t="s">
        <v>714</v>
      </c>
      <c r="E98" s="454"/>
      <c r="F98" s="454"/>
      <c r="G98" s="512" t="s">
        <v>475</v>
      </c>
      <c r="H98" s="530"/>
      <c r="I98" s="467"/>
      <c r="J98" s="531"/>
      <c r="K98" s="436"/>
      <c r="L98" s="512" t="s">
        <v>475</v>
      </c>
      <c r="M98" s="454"/>
      <c r="N98" s="454"/>
      <c r="O98" s="436"/>
    </row>
    <row r="99" spans="2:15" ht="15.75">
      <c r="B99" s="438">
        <f t="shared" si="4"/>
        <v>52</v>
      </c>
      <c r="C99" s="504"/>
      <c r="D99" s="511" t="s">
        <v>714</v>
      </c>
      <c r="E99" s="454"/>
      <c r="F99" s="454"/>
      <c r="G99" s="512" t="s">
        <v>475</v>
      </c>
      <c r="H99" s="530"/>
      <c r="I99" s="467"/>
      <c r="J99" s="531"/>
      <c r="K99" s="436"/>
      <c r="L99" s="512" t="s">
        <v>475</v>
      </c>
      <c r="M99" s="454"/>
      <c r="N99" s="454"/>
      <c r="O99" s="436"/>
    </row>
    <row r="100" spans="2:15" ht="15.75">
      <c r="B100" s="438">
        <f t="shared" si="4"/>
        <v>53</v>
      </c>
      <c r="C100" s="504"/>
      <c r="D100" s="511" t="s">
        <v>714</v>
      </c>
      <c r="E100" s="454"/>
      <c r="F100" s="454"/>
      <c r="G100" s="512" t="s">
        <v>475</v>
      </c>
      <c r="H100" s="530"/>
      <c r="I100" s="467"/>
      <c r="J100" s="531"/>
      <c r="K100" s="436"/>
      <c r="L100" s="512" t="s">
        <v>475</v>
      </c>
      <c r="M100" s="454"/>
      <c r="N100" s="454"/>
      <c r="O100" s="436"/>
    </row>
    <row r="101" spans="2:15" ht="15.75">
      <c r="B101" s="438">
        <f t="shared" si="4"/>
        <v>54</v>
      </c>
      <c r="C101" s="504"/>
      <c r="D101" s="511" t="s">
        <v>714</v>
      </c>
      <c r="E101" s="454"/>
      <c r="F101" s="454"/>
      <c r="G101" s="512" t="s">
        <v>475</v>
      </c>
      <c r="H101" s="530"/>
      <c r="I101" s="467"/>
      <c r="J101" s="531"/>
      <c r="K101" s="436"/>
      <c r="L101" s="512" t="s">
        <v>475</v>
      </c>
      <c r="M101" s="454"/>
      <c r="N101" s="454"/>
      <c r="O101" s="436"/>
    </row>
    <row r="102" spans="2:15" ht="15">
      <c r="B102" s="438">
        <f t="shared" si="4"/>
        <v>55</v>
      </c>
      <c r="C102" s="504"/>
      <c r="D102" s="502" t="str">
        <f>+D87</f>
        <v>  Distribution</v>
      </c>
      <c r="E102" s="454" t="str">
        <f>" (ln "&amp;B70&amp;" + ln "&amp;B71&amp;" - ln "&amp;B87&amp;" - ln "&amp;B88&amp;")"</f>
        <v> (ln 25 + ln 26 - ln 41 - ln 42)</v>
      </c>
      <c r="F102" s="454"/>
      <c r="G102" s="472">
        <f>+G70+G71-G87-G88</f>
        <v>568966932</v>
      </c>
      <c r="H102" s="472"/>
      <c r="I102" s="458"/>
      <c r="J102" s="528"/>
      <c r="K102" s="454"/>
      <c r="L102" s="472">
        <f>+L70+L71-L87-L88</f>
        <v>0</v>
      </c>
      <c r="M102" s="454"/>
      <c r="N102" s="429"/>
      <c r="O102" s="436"/>
    </row>
    <row r="103" spans="2:15" ht="15">
      <c r="B103" s="438">
        <f t="shared" si="3"/>
        <v>56</v>
      </c>
      <c r="C103" s="504"/>
      <c r="D103" s="502" t="str">
        <f>+D89</f>
        <v>  General Plant   </v>
      </c>
      <c r="E103" s="454" t="str">
        <f>" (ln "&amp;B72&amp;" + ln "&amp;B73&amp;" - ln "&amp;B89&amp;" - ln "&amp;B90&amp;")"</f>
        <v> (ln 27 + ln 28 - ln 43 - ln 44)</v>
      </c>
      <c r="F103" s="454"/>
      <c r="G103" s="472">
        <f>+G72+G73-G89-G90</f>
        <v>27382863.5</v>
      </c>
      <c r="H103" s="472"/>
      <c r="I103" s="458"/>
      <c r="J103" s="528"/>
      <c r="K103" s="454"/>
      <c r="L103" s="472">
        <f>+L72+L73-L89-L90</f>
        <v>1866399.4041559638</v>
      </c>
      <c r="M103" s="454"/>
      <c r="N103" s="454"/>
      <c r="O103" s="436"/>
    </row>
    <row r="104" spans="2:15" ht="15.75" thickBot="1">
      <c r="B104" s="438">
        <f t="shared" si="3"/>
        <v>57</v>
      </c>
      <c r="C104" s="504"/>
      <c r="D104" s="502" t="str">
        <f>+D91</f>
        <v>  Intangible Plant</v>
      </c>
      <c r="E104" s="454" t="str">
        <f>" (ln "&amp;B74&amp;" - ln "&amp;B91&amp;")"</f>
        <v> (ln 29 - ln 45)</v>
      </c>
      <c r="F104" s="454"/>
      <c r="G104" s="514">
        <f>+G74-G91</f>
        <v>12959806</v>
      </c>
      <c r="H104" s="472"/>
      <c r="I104" s="458"/>
      <c r="J104" s="528"/>
      <c r="K104" s="454"/>
      <c r="L104" s="514">
        <f>+L74-L91</f>
        <v>883332.5337350816</v>
      </c>
      <c r="M104" s="454"/>
      <c r="N104" s="454"/>
      <c r="O104" s="436"/>
    </row>
    <row r="105" spans="2:15" ht="15.75">
      <c r="B105" s="438">
        <f t="shared" si="3"/>
        <v>58</v>
      </c>
      <c r="C105" s="504"/>
      <c r="D105" s="502" t="s">
        <v>71</v>
      </c>
      <c r="E105" s="502" t="str">
        <f>"(sum lns "&amp;B95&amp;" to "&amp;B104&amp;")"</f>
        <v>(sum lns 48 to 57)</v>
      </c>
      <c r="F105" s="454"/>
      <c r="G105" s="472">
        <f>SUM(G95:G104)</f>
        <v>1756139802.5</v>
      </c>
      <c r="H105" s="472"/>
      <c r="I105" s="532" t="s">
        <v>660</v>
      </c>
      <c r="J105" s="517">
        <f>+L105/G105</f>
        <v>0.2173362154280374</v>
      </c>
      <c r="K105" s="454"/>
      <c r="L105" s="472">
        <f>SUM(L96:L104)</f>
        <v>381672778.43789107</v>
      </c>
      <c r="M105" s="454"/>
      <c r="N105" s="454"/>
      <c r="O105" s="436"/>
    </row>
    <row r="106" spans="2:15" ht="15">
      <c r="B106" s="438"/>
      <c r="C106" s="439"/>
      <c r="D106" s="430"/>
      <c r="E106" s="454"/>
      <c r="F106" s="454"/>
      <c r="G106" s="472"/>
      <c r="H106" s="472"/>
      <c r="I106" s="429"/>
      <c r="J106" s="533"/>
      <c r="K106" s="454"/>
      <c r="L106" s="472"/>
      <c r="M106" s="454"/>
      <c r="N106" s="454"/>
      <c r="O106" s="436"/>
    </row>
    <row r="107" spans="2:15" ht="15">
      <c r="B107" s="438"/>
      <c r="C107" s="439"/>
      <c r="G107" s="479"/>
      <c r="H107" s="479"/>
      <c r="I107" s="479"/>
      <c r="J107" s="479"/>
      <c r="K107" s="479"/>
      <c r="L107" s="479"/>
      <c r="M107" s="534"/>
      <c r="N107" s="454"/>
      <c r="O107" s="436"/>
    </row>
    <row r="108" spans="2:15" ht="15">
      <c r="B108" s="438">
        <f>+B105+1</f>
        <v>59</v>
      </c>
      <c r="C108" s="439"/>
      <c r="D108" s="430" t="s">
        <v>403</v>
      </c>
      <c r="E108" s="454" t="s">
        <v>380</v>
      </c>
      <c r="F108" s="458"/>
      <c r="G108" s="479"/>
      <c r="H108" s="479"/>
      <c r="I108" s="479"/>
      <c r="J108" s="479"/>
      <c r="K108" s="479"/>
      <c r="L108" s="479"/>
      <c r="M108" s="534"/>
      <c r="N108" s="454"/>
      <c r="O108" s="436"/>
    </row>
    <row r="109" spans="2:15" ht="15">
      <c r="B109" s="438">
        <f aca="true" t="shared" si="5" ref="B109:B114">+B108+1</f>
        <v>60</v>
      </c>
      <c r="C109" s="504"/>
      <c r="D109" s="510" t="s">
        <v>240</v>
      </c>
      <c r="E109" s="454" t="s">
        <v>703</v>
      </c>
      <c r="F109" s="454"/>
      <c r="G109" s="472">
        <f>-'KP WS B ADIT &amp; ITC'!I15</f>
        <v>-59084466.98780371</v>
      </c>
      <c r="H109" s="472"/>
      <c r="I109" s="458" t="s">
        <v>159</v>
      </c>
      <c r="J109" s="459"/>
      <c r="K109" s="454"/>
      <c r="L109" s="472">
        <f>-'KP WS B ADIT &amp; ITC'!I18</f>
        <v>0</v>
      </c>
      <c r="M109" s="454"/>
      <c r="N109" s="454"/>
      <c r="O109" s="436"/>
    </row>
    <row r="110" spans="2:15" ht="15">
      <c r="B110" s="438">
        <f t="shared" si="5"/>
        <v>61</v>
      </c>
      <c r="C110" s="504"/>
      <c r="D110" s="510" t="s">
        <v>241</v>
      </c>
      <c r="E110" s="454" t="s">
        <v>704</v>
      </c>
      <c r="F110" s="454"/>
      <c r="G110" s="472">
        <f>-'KP WS B ADIT &amp; ITC'!I23</f>
        <v>-399746052.2002391</v>
      </c>
      <c r="H110" s="472"/>
      <c r="I110" s="458" t="s">
        <v>161</v>
      </c>
      <c r="J110" s="459"/>
      <c r="K110" s="454"/>
      <c r="L110" s="472">
        <f>-'KP WS B ADIT &amp; ITC'!I26</f>
        <v>-83643015.4784686</v>
      </c>
      <c r="M110" s="454"/>
      <c r="N110" s="454"/>
      <c r="O110" s="436"/>
    </row>
    <row r="111" spans="2:15" ht="15">
      <c r="B111" s="438">
        <f t="shared" si="5"/>
        <v>62</v>
      </c>
      <c r="C111" s="504"/>
      <c r="D111" s="510" t="s">
        <v>242</v>
      </c>
      <c r="E111" s="454" t="s">
        <v>705</v>
      </c>
      <c r="F111" s="454"/>
      <c r="G111" s="472">
        <f>-'KP WS B ADIT &amp; ITC'!I31</f>
        <v>-274326803.4269572</v>
      </c>
      <c r="H111" s="472"/>
      <c r="I111" s="458" t="s">
        <v>161</v>
      </c>
      <c r="J111" s="459"/>
      <c r="K111" s="454"/>
      <c r="L111" s="472">
        <f>-'KP WS B ADIT &amp; ITC'!I34</f>
        <v>-1233925.471310407</v>
      </c>
      <c r="M111" s="454"/>
      <c r="N111" s="454"/>
      <c r="O111" s="436"/>
    </row>
    <row r="112" spans="2:15" ht="15">
      <c r="B112" s="438">
        <f t="shared" si="5"/>
        <v>63</v>
      </c>
      <c r="C112" s="504"/>
      <c r="D112" s="510" t="s">
        <v>243</v>
      </c>
      <c r="E112" s="454" t="s">
        <v>706</v>
      </c>
      <c r="F112" s="454"/>
      <c r="G112" s="472">
        <f>'KP WS B ADIT &amp; ITC'!I39</f>
        <v>57873322.315000005</v>
      </c>
      <c r="H112" s="472"/>
      <c r="I112" s="458" t="s">
        <v>161</v>
      </c>
      <c r="J112" s="459"/>
      <c r="K112" s="454"/>
      <c r="L112" s="472">
        <f>'KP WS B ADIT &amp; ITC'!I42</f>
        <v>3695788.5865372196</v>
      </c>
      <c r="M112" s="454"/>
      <c r="N112" s="454"/>
      <c r="O112" s="436"/>
    </row>
    <row r="113" spans="2:15" ht="15.75" thickBot="1">
      <c r="B113" s="438">
        <f t="shared" si="5"/>
        <v>64</v>
      </c>
      <c r="C113" s="504"/>
      <c r="D113" s="462" t="s">
        <v>166</v>
      </c>
      <c r="E113" s="454" t="s">
        <v>707</v>
      </c>
      <c r="F113" s="429"/>
      <c r="G113" s="514">
        <f>-'KP WS B ADIT &amp; ITC'!I49</f>
        <v>0</v>
      </c>
      <c r="H113" s="472"/>
      <c r="I113" s="458" t="s">
        <v>161</v>
      </c>
      <c r="J113" s="459"/>
      <c r="K113" s="454"/>
      <c r="L113" s="514">
        <f>-'KP WS B ADIT &amp; ITC'!I50</f>
        <v>0</v>
      </c>
      <c r="M113" s="535"/>
      <c r="N113" s="454"/>
      <c r="O113" s="436"/>
    </row>
    <row r="114" spans="2:14" ht="15">
      <c r="B114" s="438">
        <f t="shared" si="5"/>
        <v>65</v>
      </c>
      <c r="C114" s="504"/>
      <c r="D114" s="502" t="s">
        <v>123</v>
      </c>
      <c r="E114" s="502" t="str">
        <f>"(sum lns "&amp;B109&amp;" to "&amp;B113&amp;")"</f>
        <v>(sum lns 60 to 64)</v>
      </c>
      <c r="F114" s="454"/>
      <c r="G114" s="472">
        <f>SUM(G109:G113)</f>
        <v>-675284000.3</v>
      </c>
      <c r="H114" s="536"/>
      <c r="I114" s="458"/>
      <c r="J114" s="537"/>
      <c r="K114" s="454"/>
      <c r="L114" s="472">
        <f>SUM(L109:L113)</f>
        <v>-81181152.36324179</v>
      </c>
      <c r="M114" s="454"/>
      <c r="N114" s="538"/>
    </row>
    <row r="115" spans="2:14" ht="15">
      <c r="B115" s="438"/>
      <c r="C115" s="439"/>
      <c r="D115" s="502"/>
      <c r="E115" s="454"/>
      <c r="F115" s="454"/>
      <c r="G115" s="472"/>
      <c r="H115" s="536"/>
      <c r="I115" s="458"/>
      <c r="J115" s="528"/>
      <c r="K115" s="454"/>
      <c r="L115" s="472"/>
      <c r="M115" s="454"/>
      <c r="N115" s="429"/>
    </row>
    <row r="116" spans="2:14" ht="15">
      <c r="B116" s="438">
        <f>+B114+1</f>
        <v>66</v>
      </c>
      <c r="C116" s="439"/>
      <c r="D116" s="502" t="s">
        <v>256</v>
      </c>
      <c r="E116" s="454" t="str">
        <f>"(Worksheet A ln "&amp;'KP WS A  - RB Support '!A78&amp;".E &amp; ln "&amp;'KP WS A  - RB Support '!A80&amp;".E)"</f>
        <v>(Worksheet A ln 29.E &amp; ln 30.E)</v>
      </c>
      <c r="F116" s="454"/>
      <c r="G116" s="472">
        <f>+'KP WS A  - RB Support '!G78</f>
        <v>972246</v>
      </c>
      <c r="H116" s="536"/>
      <c r="I116" s="458" t="s">
        <v>161</v>
      </c>
      <c r="J116" s="459"/>
      <c r="K116" s="454"/>
      <c r="L116" s="472">
        <f>+'KP WS A  - RB Support '!G80</f>
        <v>972246</v>
      </c>
      <c r="M116" s="454"/>
      <c r="N116" s="429"/>
    </row>
    <row r="117" spans="2:14" ht="15">
      <c r="B117" s="438"/>
      <c r="C117" s="439"/>
      <c r="D117" s="502"/>
      <c r="E117" s="454"/>
      <c r="F117" s="454"/>
      <c r="G117" s="472"/>
      <c r="H117" s="536"/>
      <c r="I117" s="458"/>
      <c r="J117" s="459"/>
      <c r="K117" s="454"/>
      <c r="L117" s="472"/>
      <c r="M117" s="454"/>
      <c r="N117" s="429"/>
    </row>
    <row r="118" spans="2:14" ht="15">
      <c r="B118" s="438">
        <f>+B116+1</f>
        <v>67</v>
      </c>
      <c r="C118" s="464"/>
      <c r="D118" s="510" t="s">
        <v>404</v>
      </c>
      <c r="E118" s="454" t="str">
        <f>"(Worksheet A ln "&amp;'KP WS A  - RB Support '!A89&amp;".E)"</f>
        <v>(Worksheet A ln 36.E)</v>
      </c>
      <c r="F118" s="454"/>
      <c r="G118" s="472">
        <f>+'KP WS A  - RB Support '!G89</f>
        <v>0</v>
      </c>
      <c r="H118" s="536"/>
      <c r="I118" s="458" t="s">
        <v>161</v>
      </c>
      <c r="J118" s="454"/>
      <c r="K118" s="454"/>
      <c r="L118" s="472">
        <f>+G118</f>
        <v>0</v>
      </c>
      <c r="M118" s="454"/>
      <c r="N118" s="429"/>
    </row>
    <row r="119" spans="2:14" ht="15">
      <c r="B119" s="438"/>
      <c r="C119" s="439"/>
      <c r="D119" s="502"/>
      <c r="E119" s="454"/>
      <c r="F119" s="454"/>
      <c r="G119" s="472"/>
      <c r="H119" s="536"/>
      <c r="I119" s="458"/>
      <c r="J119" s="454"/>
      <c r="K119" s="454"/>
      <c r="L119" s="472"/>
      <c r="M119" s="454"/>
      <c r="N119" s="429"/>
    </row>
    <row r="120" spans="2:14" ht="15">
      <c r="B120" s="438">
        <f>+B118+1</f>
        <v>68</v>
      </c>
      <c r="C120" s="439"/>
      <c r="D120" s="502" t="s">
        <v>124</v>
      </c>
      <c r="E120" s="454" t="s">
        <v>640</v>
      </c>
      <c r="F120" s="454"/>
      <c r="G120" s="472"/>
      <c r="H120" s="536"/>
      <c r="I120" s="458"/>
      <c r="J120" s="454"/>
      <c r="K120" s="454"/>
      <c r="L120" s="472"/>
      <c r="M120" s="454"/>
      <c r="N120" s="429"/>
    </row>
    <row r="121" spans="2:14" ht="15">
      <c r="B121" s="438">
        <f aca="true" t="shared" si="6" ref="B121:B129">+B120+1</f>
        <v>69</v>
      </c>
      <c r="C121" s="504"/>
      <c r="D121" s="502" t="s">
        <v>255</v>
      </c>
      <c r="E121" s="429" t="str">
        <f>"(1/8 * ln "&amp;B157&amp;")"</f>
        <v>(1/8 * ln 89)</v>
      </c>
      <c r="F121" s="429"/>
      <c r="G121" s="472">
        <f>+G157/8</f>
        <v>763491.375</v>
      </c>
      <c r="H121" s="454"/>
      <c r="I121" s="458"/>
      <c r="J121" s="528"/>
      <c r="K121" s="454"/>
      <c r="L121" s="472">
        <f>+L157/8</f>
        <v>750035.3335230908</v>
      </c>
      <c r="M121" s="449"/>
      <c r="N121" s="429"/>
    </row>
    <row r="122" spans="2:14" ht="15">
      <c r="B122" s="438">
        <f t="shared" si="6"/>
        <v>70</v>
      </c>
      <c r="C122" s="524"/>
      <c r="D122" s="502" t="s">
        <v>414</v>
      </c>
      <c r="E122" s="454" t="s">
        <v>708</v>
      </c>
      <c r="F122" s="454"/>
      <c r="G122" s="472">
        <f>'KP WS C  - Working Capital'!I15</f>
        <v>53174.66455543141</v>
      </c>
      <c r="H122" s="479"/>
      <c r="I122" s="467" t="s">
        <v>152</v>
      </c>
      <c r="J122" s="459">
        <f>L241</f>
        <v>0.982375647037389</v>
      </c>
      <c r="K122" s="436"/>
      <c r="L122" s="530">
        <f>+J122*G122</f>
        <v>52237.49549863805</v>
      </c>
      <c r="M122" s="454"/>
      <c r="N122" s="429"/>
    </row>
    <row r="123" spans="2:14" ht="15">
      <c r="B123" s="438">
        <f t="shared" si="6"/>
        <v>71</v>
      </c>
      <c r="C123" s="524"/>
      <c r="D123" s="502" t="s">
        <v>415</v>
      </c>
      <c r="E123" s="454" t="s">
        <v>709</v>
      </c>
      <c r="F123" s="454"/>
      <c r="G123" s="472">
        <f>'KP WS C  - Working Capital'!I17</f>
        <v>43510</v>
      </c>
      <c r="H123" s="479"/>
      <c r="I123" s="467" t="s">
        <v>164</v>
      </c>
      <c r="J123" s="459">
        <f>L251</f>
        <v>0.06815939480383283</v>
      </c>
      <c r="K123" s="436"/>
      <c r="L123" s="530">
        <f>+J123*G123</f>
        <v>2965.6152679147667</v>
      </c>
      <c r="M123" s="454"/>
      <c r="N123" s="429"/>
    </row>
    <row r="124" spans="2:14" ht="15">
      <c r="B124" s="438">
        <f t="shared" si="6"/>
        <v>72</v>
      </c>
      <c r="C124" s="524"/>
      <c r="D124" s="502" t="s">
        <v>690</v>
      </c>
      <c r="E124" s="454" t="s">
        <v>710</v>
      </c>
      <c r="F124" s="454"/>
      <c r="G124" s="472">
        <f>'KP WS C  - Working Capital'!I19</f>
        <v>0</v>
      </c>
      <c r="H124" s="479"/>
      <c r="I124" s="467" t="s">
        <v>416</v>
      </c>
      <c r="J124" s="459">
        <f>J75</f>
        <v>0.21806767370318333</v>
      </c>
      <c r="K124" s="436"/>
      <c r="L124" s="530">
        <f>+J124*G124</f>
        <v>0</v>
      </c>
      <c r="M124" s="454"/>
      <c r="N124" s="429"/>
    </row>
    <row r="125" spans="2:14" ht="15">
      <c r="B125" s="438">
        <f t="shared" si="6"/>
        <v>73</v>
      </c>
      <c r="C125" s="524"/>
      <c r="D125" s="510" t="s">
        <v>274</v>
      </c>
      <c r="E125" s="454" t="s">
        <v>742</v>
      </c>
      <c r="F125" s="454"/>
      <c r="G125" s="472">
        <f>'KP WS C  - Working Capital'!J29</f>
        <v>56506330.4742985</v>
      </c>
      <c r="H125" s="536"/>
      <c r="I125" s="458" t="s">
        <v>164</v>
      </c>
      <c r="J125" s="459">
        <f>L251</f>
        <v>0.06815939480383283</v>
      </c>
      <c r="K125" s="454"/>
      <c r="L125" s="472">
        <f>+J125*G125</f>
        <v>3851437.287713562</v>
      </c>
      <c r="M125" s="454"/>
      <c r="N125" s="429"/>
    </row>
    <row r="126" spans="2:14" ht="15">
      <c r="B126" s="438">
        <f t="shared" si="6"/>
        <v>74</v>
      </c>
      <c r="C126" s="504"/>
      <c r="D126" s="502" t="s">
        <v>275</v>
      </c>
      <c r="E126" s="454" t="s">
        <v>741</v>
      </c>
      <c r="F126" s="454"/>
      <c r="G126" s="472">
        <f>'KP WS C  - Working Capital'!I29</f>
        <v>791567.899664922</v>
      </c>
      <c r="H126" s="536"/>
      <c r="I126" s="458" t="s">
        <v>416</v>
      </c>
      <c r="J126" s="459">
        <f>J75</f>
        <v>0.21806767370318333</v>
      </c>
      <c r="K126" s="454"/>
      <c r="L126" s="472">
        <f>+G126*J126</f>
        <v>172615.37045804437</v>
      </c>
      <c r="M126" s="454"/>
      <c r="N126" s="429"/>
    </row>
    <row r="127" spans="2:14" ht="15">
      <c r="B127" s="438">
        <f t="shared" si="6"/>
        <v>75</v>
      </c>
      <c r="C127" s="504"/>
      <c r="D127" s="502" t="s">
        <v>382</v>
      </c>
      <c r="E127" s="454" t="s">
        <v>743</v>
      </c>
      <c r="F127" s="454"/>
      <c r="G127" s="472">
        <f>'KP WS C  - Working Capital'!G29</f>
        <v>0</v>
      </c>
      <c r="H127" s="536"/>
      <c r="I127" s="458" t="s">
        <v>161</v>
      </c>
      <c r="J127" s="459">
        <v>1</v>
      </c>
      <c r="K127" s="454"/>
      <c r="L127" s="472">
        <f>+G127*J127</f>
        <v>0</v>
      </c>
      <c r="M127" s="454"/>
      <c r="N127" s="429"/>
    </row>
    <row r="128" spans="2:14" ht="15.75" thickBot="1">
      <c r="B128" s="438">
        <f t="shared" si="6"/>
        <v>76</v>
      </c>
      <c r="C128" s="504"/>
      <c r="D128" s="502" t="s">
        <v>136</v>
      </c>
      <c r="E128" s="454" t="s">
        <v>744</v>
      </c>
      <c r="F128" s="454"/>
      <c r="G128" s="514">
        <f>'KP WS C  - Working Capital'!E29</f>
        <v>-55251482.13681418</v>
      </c>
      <c r="H128" s="472"/>
      <c r="I128" s="458" t="s">
        <v>159</v>
      </c>
      <c r="J128" s="459">
        <v>0</v>
      </c>
      <c r="K128" s="454"/>
      <c r="L128" s="514">
        <f>+G128*J128</f>
        <v>0</v>
      </c>
      <c r="M128" s="454"/>
      <c r="N128" s="429"/>
    </row>
    <row r="129" spans="2:14" ht="15">
      <c r="B129" s="438">
        <f t="shared" si="6"/>
        <v>77</v>
      </c>
      <c r="C129" s="504"/>
      <c r="D129" s="502" t="s">
        <v>70</v>
      </c>
      <c r="E129" s="502" t="str">
        <f>"(sum lns "&amp;B121&amp;" to "&amp;B128&amp;")"</f>
        <v>(sum lns 69 to 76)</v>
      </c>
      <c r="F129" s="449"/>
      <c r="G129" s="472">
        <f>SUM(G121:G128)</f>
        <v>2906592.2767046764</v>
      </c>
      <c r="H129" s="449"/>
      <c r="I129" s="464"/>
      <c r="J129" s="449"/>
      <c r="K129" s="449"/>
      <c r="L129" s="472">
        <f>SUM(L121:L128)</f>
        <v>4829291.10246125</v>
      </c>
      <c r="M129" s="449"/>
      <c r="N129" s="429"/>
    </row>
    <row r="130" spans="2:14" ht="15">
      <c r="B130" s="438"/>
      <c r="C130" s="439"/>
      <c r="D130" s="502"/>
      <c r="E130" s="433"/>
      <c r="F130" s="433"/>
      <c r="G130" s="530"/>
      <c r="H130" s="433"/>
      <c r="I130" s="439"/>
      <c r="J130" s="433"/>
      <c r="K130" s="433"/>
      <c r="L130" s="530"/>
      <c r="M130" s="449"/>
      <c r="N130" s="429"/>
    </row>
    <row r="131" spans="2:14" ht="15">
      <c r="B131" s="438">
        <f>+B129+1</f>
        <v>78</v>
      </c>
      <c r="C131" s="439"/>
      <c r="D131" s="510" t="s">
        <v>56</v>
      </c>
      <c r="E131" s="430" t="s">
        <v>711</v>
      </c>
      <c r="F131" s="433"/>
      <c r="G131" s="530">
        <f>+'KP WS D IPP Credits'!C19</f>
        <v>-286822</v>
      </c>
      <c r="H131" s="433"/>
      <c r="I131" s="539" t="s">
        <v>161</v>
      </c>
      <c r="J131" s="459">
        <v>1</v>
      </c>
      <c r="K131" s="436"/>
      <c r="L131" s="530">
        <f>+J131*G131</f>
        <v>-286822</v>
      </c>
      <c r="M131" s="449"/>
      <c r="N131" s="429"/>
    </row>
    <row r="132" spans="2:14" ht="15.75" thickBot="1">
      <c r="B132" s="438"/>
      <c r="D132" s="462"/>
      <c r="E132" s="436"/>
      <c r="F132" s="436"/>
      <c r="G132" s="540"/>
      <c r="H132" s="436"/>
      <c r="I132" s="467"/>
      <c r="J132" s="436"/>
      <c r="K132" s="436"/>
      <c r="L132" s="540"/>
      <c r="M132" s="454"/>
      <c r="N132" s="429"/>
    </row>
    <row r="133" spans="2:14" ht="15.75" thickBot="1">
      <c r="B133" s="438">
        <f>+B131+1</f>
        <v>79</v>
      </c>
      <c r="C133" s="439"/>
      <c r="D133" s="430" t="str">
        <f>"RATE BASE  (sum lns "&amp;B105&amp;", "&amp;B114&amp;", "&amp;B116&amp;", "&amp;B118&amp;", "&amp;B129&amp;", "&amp;B131&amp;")"</f>
        <v>RATE BASE  (sum lns 58, 65, 66, 67, 77, 78)</v>
      </c>
      <c r="E133" s="436"/>
      <c r="F133" s="436"/>
      <c r="G133" s="541">
        <f>+G129+G116+G114+G105+G131+G118</f>
        <v>1084447818.4767046</v>
      </c>
      <c r="H133" s="436"/>
      <c r="I133" s="436"/>
      <c r="J133" s="542"/>
      <c r="K133" s="436"/>
      <c r="L133" s="541">
        <f>+L129+L116+L114+L105+L131+L118</f>
        <v>306006341.17711055</v>
      </c>
      <c r="M133" s="454"/>
      <c r="N133" s="429"/>
    </row>
    <row r="134" spans="2:14" ht="16.5" thickTop="1">
      <c r="B134" s="438"/>
      <c r="C134" s="479"/>
      <c r="D134" s="479"/>
      <c r="E134" s="479"/>
      <c r="F134" s="479"/>
      <c r="G134" s="479"/>
      <c r="H134" s="479"/>
      <c r="I134" s="428"/>
      <c r="J134" s="428"/>
      <c r="K134" s="428"/>
      <c r="L134" s="429"/>
      <c r="M134" s="429"/>
      <c r="N134" s="429"/>
    </row>
    <row r="135" spans="2:14" ht="15">
      <c r="B135" s="543"/>
      <c r="C135" s="439"/>
      <c r="D135" s="430"/>
      <c r="E135" s="436"/>
      <c r="F135" s="436"/>
      <c r="G135" s="436"/>
      <c r="H135" s="436"/>
      <c r="I135" s="436"/>
      <c r="J135" s="436"/>
      <c r="K135" s="436"/>
      <c r="L135" s="436"/>
      <c r="M135" s="454"/>
      <c r="N135" s="429"/>
    </row>
    <row r="136" spans="2:14" ht="15">
      <c r="B136" s="543"/>
      <c r="C136" s="439"/>
      <c r="D136" s="430"/>
      <c r="E136" s="436"/>
      <c r="F136" s="467" t="str">
        <f>F52</f>
        <v>AEP East Companies </v>
      </c>
      <c r="G136" s="467"/>
      <c r="H136" s="436"/>
      <c r="I136" s="436"/>
      <c r="J136" s="436"/>
      <c r="K136" s="436"/>
      <c r="L136" s="436"/>
      <c r="M136" s="544"/>
      <c r="N136" s="429"/>
    </row>
    <row r="137" spans="2:14" ht="15">
      <c r="B137" s="543"/>
      <c r="C137" s="439"/>
      <c r="D137" s="430"/>
      <c r="E137" s="436"/>
      <c r="F137" s="467" t="str">
        <f>F53</f>
        <v>Transmission Cost of Service Formula Rate</v>
      </c>
      <c r="G137" s="467"/>
      <c r="H137" s="436"/>
      <c r="I137" s="436"/>
      <c r="J137" s="436"/>
      <c r="K137" s="436"/>
      <c r="L137" s="436"/>
      <c r="M137" s="544"/>
      <c r="N137" s="429"/>
    </row>
    <row r="138" spans="2:14" ht="15">
      <c r="B138" s="543"/>
      <c r="C138" s="439"/>
      <c r="E138" s="436"/>
      <c r="F138" s="467" t="str">
        <f>F54</f>
        <v>Utilizing  Actual/Projected FERC Form 1 Data</v>
      </c>
      <c r="G138" s="436"/>
      <c r="H138" s="436"/>
      <c r="I138" s="436"/>
      <c r="J138" s="436"/>
      <c r="K138" s="436"/>
      <c r="L138" s="436"/>
      <c r="M138" s="489"/>
      <c r="N138" s="429"/>
    </row>
    <row r="139" spans="2:14" ht="15">
      <c r="B139" s="543"/>
      <c r="C139" s="439"/>
      <c r="E139" s="436"/>
      <c r="F139" s="467"/>
      <c r="G139" s="436"/>
      <c r="H139" s="436"/>
      <c r="I139" s="436"/>
      <c r="J139" s="436"/>
      <c r="K139" s="436"/>
      <c r="L139" s="436"/>
      <c r="M139" s="454"/>
      <c r="N139" s="429"/>
    </row>
    <row r="140" spans="2:14" ht="15">
      <c r="B140" s="543"/>
      <c r="C140" s="439"/>
      <c r="E140" s="545"/>
      <c r="F140" s="467" t="str">
        <f>F56</f>
        <v>KENTUCKY POWER COMPANY</v>
      </c>
      <c r="G140" s="545"/>
      <c r="H140" s="546"/>
      <c r="I140" s="545"/>
      <c r="J140" s="545"/>
      <c r="K140" s="545"/>
      <c r="M140" s="454"/>
      <c r="N140" s="429"/>
    </row>
    <row r="141" spans="2:14" ht="15">
      <c r="B141" s="543"/>
      <c r="C141" s="439"/>
      <c r="E141" s="545"/>
      <c r="F141" s="467"/>
      <c r="G141" s="545"/>
      <c r="H141" s="546"/>
      <c r="I141" s="545"/>
      <c r="J141" s="545"/>
      <c r="K141" s="545"/>
      <c r="M141" s="454"/>
      <c r="N141" s="429"/>
    </row>
    <row r="142" spans="2:14" ht="15">
      <c r="B142" s="543"/>
      <c r="D142" s="439" t="s">
        <v>153</v>
      </c>
      <c r="E142" s="439" t="s">
        <v>154</v>
      </c>
      <c r="F142" s="439"/>
      <c r="G142" s="439" t="s">
        <v>155</v>
      </c>
      <c r="H142" s="454"/>
      <c r="I142" s="1183" t="s">
        <v>156</v>
      </c>
      <c r="J142" s="1187"/>
      <c r="K142" s="436"/>
      <c r="L142" s="440" t="s">
        <v>157</v>
      </c>
      <c r="M142" s="454"/>
      <c r="N142" s="548"/>
    </row>
    <row r="143" spans="2:15" ht="15.75">
      <c r="B143" s="543"/>
      <c r="D143" s="439"/>
      <c r="E143" s="439"/>
      <c r="F143" s="439"/>
      <c r="G143" s="439"/>
      <c r="H143" s="454"/>
      <c r="I143" s="436"/>
      <c r="J143" s="491"/>
      <c r="K143" s="436"/>
      <c r="M143" s="454"/>
      <c r="N143" s="549"/>
      <c r="O143" s="550"/>
    </row>
    <row r="144" spans="2:15" ht="15.75">
      <c r="B144" s="543"/>
      <c r="C144" s="439"/>
      <c r="D144" s="551" t="s">
        <v>132</v>
      </c>
      <c r="E144" s="493" t="str">
        <f>E60</f>
        <v>Data Sources</v>
      </c>
      <c r="F144" s="494"/>
      <c r="G144" s="436"/>
      <c r="H144" s="454"/>
      <c r="I144" s="436"/>
      <c r="J144" s="439"/>
      <c r="K144" s="436"/>
      <c r="L144" s="493" t="str">
        <f>L60</f>
        <v>Total</v>
      </c>
      <c r="M144" s="429"/>
      <c r="N144" s="549"/>
      <c r="O144" s="550"/>
    </row>
    <row r="145" spans="2:15" ht="15.75">
      <c r="B145" s="543"/>
      <c r="C145" s="446"/>
      <c r="D145" s="496" t="s">
        <v>133</v>
      </c>
      <c r="E145" s="552" t="str">
        <f>E61</f>
        <v>(See "General Notes")</v>
      </c>
      <c r="F145" s="436"/>
      <c r="G145" s="552" t="str">
        <f>G61</f>
        <v>TO Total</v>
      </c>
      <c r="H145" s="553"/>
      <c r="I145" s="1185" t="str">
        <f>I61</f>
        <v>Allocator</v>
      </c>
      <c r="J145" s="1186"/>
      <c r="K145" s="498"/>
      <c r="L145" s="552" t="str">
        <f>L61</f>
        <v>Transmission</v>
      </c>
      <c r="M145" s="454"/>
      <c r="N145" s="549"/>
      <c r="O145" s="550"/>
    </row>
    <row r="146" spans="2:14" ht="15.75">
      <c r="B146" s="438" t="str">
        <f>B62</f>
        <v>Line</v>
      </c>
      <c r="D146" s="430"/>
      <c r="E146" s="436"/>
      <c r="F146" s="436"/>
      <c r="G146" s="496"/>
      <c r="H146" s="554"/>
      <c r="I146" s="551"/>
      <c r="K146" s="555"/>
      <c r="L146" s="496"/>
      <c r="M146" s="454"/>
      <c r="N146" s="429"/>
    </row>
    <row r="147" spans="2:14" ht="15">
      <c r="B147" s="438" t="str">
        <f>B63</f>
        <v>No.</v>
      </c>
      <c r="C147" s="439"/>
      <c r="D147" s="430" t="s">
        <v>134</v>
      </c>
      <c r="E147" s="436"/>
      <c r="F147" s="436"/>
      <c r="G147" s="436"/>
      <c r="H147" s="454"/>
      <c r="I147" s="467"/>
      <c r="J147" s="436"/>
      <c r="K147" s="436"/>
      <c r="L147" s="436"/>
      <c r="M147" s="454"/>
      <c r="N147" s="429"/>
    </row>
    <row r="148" spans="2:14" ht="15">
      <c r="B148" s="438">
        <f>+B133+1</f>
        <v>80</v>
      </c>
      <c r="C148" s="439"/>
      <c r="D148" s="430" t="s">
        <v>158</v>
      </c>
      <c r="E148" s="436" t="s">
        <v>27</v>
      </c>
      <c r="F148" s="436"/>
      <c r="G148" s="1054">
        <v>308472666</v>
      </c>
      <c r="H148" s="454"/>
      <c r="I148" s="467"/>
      <c r="J148" s="459"/>
      <c r="K148" s="436"/>
      <c r="L148" s="472"/>
      <c r="M148" s="454"/>
      <c r="N148" s="429"/>
    </row>
    <row r="149" spans="2:14" ht="15">
      <c r="B149" s="438">
        <f>+B148+1</f>
        <v>81</v>
      </c>
      <c r="C149" s="439"/>
      <c r="D149" s="475" t="s">
        <v>162</v>
      </c>
      <c r="E149" s="436" t="s">
        <v>28</v>
      </c>
      <c r="F149" s="454"/>
      <c r="G149" s="1054">
        <v>47582516</v>
      </c>
      <c r="H149" s="454"/>
      <c r="I149" s="467"/>
      <c r="J149" s="459"/>
      <c r="K149" s="436"/>
      <c r="L149" s="472"/>
      <c r="M149" s="454"/>
      <c r="N149" s="429"/>
    </row>
    <row r="150" spans="2:14" ht="15">
      <c r="B150" s="438">
        <f aca="true" t="shared" si="7" ref="B150:B155">+B149+1</f>
        <v>82</v>
      </c>
      <c r="C150" s="439"/>
      <c r="D150" s="475" t="s">
        <v>322</v>
      </c>
      <c r="E150" s="436" t="s">
        <v>253</v>
      </c>
      <c r="F150" s="454"/>
      <c r="G150" s="1055">
        <f>159249+8160174+5905952</f>
        <v>14225375</v>
      </c>
      <c r="H150" s="454"/>
      <c r="I150" s="458"/>
      <c r="J150" s="459"/>
      <c r="K150" s="454"/>
      <c r="L150" s="472"/>
      <c r="M150" s="454"/>
      <c r="N150" s="429"/>
    </row>
    <row r="151" spans="2:14" ht="15">
      <c r="B151" s="438">
        <f t="shared" si="7"/>
        <v>83</v>
      </c>
      <c r="C151" s="439"/>
      <c r="D151" s="475" t="s">
        <v>323</v>
      </c>
      <c r="E151" s="436" t="s">
        <v>516</v>
      </c>
      <c r="F151" s="454"/>
      <c r="G151" s="1055">
        <v>1145306</v>
      </c>
      <c r="H151" s="454"/>
      <c r="I151" s="458"/>
      <c r="J151" s="459"/>
      <c r="K151" s="454"/>
      <c r="L151" s="472"/>
      <c r="M151" s="454"/>
      <c r="N151" s="429"/>
    </row>
    <row r="152" spans="2:15" ht="15.75" thickBot="1">
      <c r="B152" s="438">
        <f t="shared" si="7"/>
        <v>84</v>
      </c>
      <c r="C152" s="439"/>
      <c r="D152" s="475" t="s">
        <v>167</v>
      </c>
      <c r="E152" s="436" t="s">
        <v>515</v>
      </c>
      <c r="F152" s="454"/>
      <c r="G152" s="1056">
        <v>37054807</v>
      </c>
      <c r="H152" s="472"/>
      <c r="I152" s="479"/>
      <c r="J152" s="479"/>
      <c r="K152" s="441"/>
      <c r="L152" s="441"/>
      <c r="M152" s="449"/>
      <c r="N152" s="454"/>
      <c r="O152" s="436"/>
    </row>
    <row r="153" spans="2:15" ht="15">
      <c r="B153" s="438">
        <f t="shared" si="7"/>
        <v>85</v>
      </c>
      <c r="C153" s="439"/>
      <c r="D153" s="475" t="s">
        <v>324</v>
      </c>
      <c r="E153" s="454" t="str">
        <f>"(sum lns "&amp;B148&amp;"  to "&amp;B152&amp;")"</f>
        <v>(sum lns 80  to 84)</v>
      </c>
      <c r="F153" s="454"/>
      <c r="G153" s="472">
        <f>SUM(G148:G152)</f>
        <v>408480670</v>
      </c>
      <c r="H153" s="472"/>
      <c r="I153" s="479"/>
      <c r="J153" s="479"/>
      <c r="K153" s="441"/>
      <c r="L153" s="441"/>
      <c r="M153" s="449"/>
      <c r="N153" s="454"/>
      <c r="O153" s="436"/>
    </row>
    <row r="154" spans="2:15" ht="15">
      <c r="B154" s="438">
        <f t="shared" si="7"/>
        <v>86</v>
      </c>
      <c r="C154" s="439"/>
      <c r="D154" s="475" t="s">
        <v>405</v>
      </c>
      <c r="E154" s="454" t="str">
        <f>"(Note G) (Worksheet F, ln "&amp;'KP WS F Misc Exp'!A31&amp;".C)"</f>
        <v>(Note G) (Worksheet F, ln 14.C)</v>
      </c>
      <c r="F154" s="454"/>
      <c r="G154" s="472">
        <f>'KP WS F Misc Exp'!D31</f>
        <v>2786464</v>
      </c>
      <c r="H154" s="472"/>
      <c r="I154" s="479"/>
      <c r="J154" s="479"/>
      <c r="K154" s="441"/>
      <c r="L154" s="441"/>
      <c r="M154" s="449"/>
      <c r="N154" s="454"/>
      <c r="O154" s="436"/>
    </row>
    <row r="155" spans="2:15" ht="15">
      <c r="B155" s="438">
        <f t="shared" si="7"/>
        <v>87</v>
      </c>
      <c r="C155" s="439"/>
      <c r="D155" s="475" t="s">
        <v>41</v>
      </c>
      <c r="E155" s="454" t="s">
        <v>131</v>
      </c>
      <c r="F155" s="454"/>
      <c r="G155" s="1055">
        <v>28160412</v>
      </c>
      <c r="H155" s="472"/>
      <c r="I155" s="479"/>
      <c r="J155" s="479"/>
      <c r="K155" s="441"/>
      <c r="L155" s="441"/>
      <c r="M155" s="449"/>
      <c r="N155" s="454"/>
      <c r="O155" s="436"/>
    </row>
    <row r="156" spans="2:15" ht="15.75" thickBot="1">
      <c r="B156" s="438">
        <f>+B155+1</f>
        <v>88</v>
      </c>
      <c r="C156" s="464"/>
      <c r="D156" s="475" t="s">
        <v>411</v>
      </c>
      <c r="E156" s="454" t="s">
        <v>609</v>
      </c>
      <c r="F156" s="454"/>
      <c r="G156" s="514">
        <f>+'KP WS F Misc Exp'!D19</f>
        <v>0</v>
      </c>
      <c r="H156" s="472"/>
      <c r="I156" s="536"/>
      <c r="J156" s="536"/>
      <c r="K156" s="441"/>
      <c r="L156" s="441"/>
      <c r="M156" s="449"/>
      <c r="N156" s="454"/>
      <c r="O156" s="436"/>
    </row>
    <row r="157" spans="2:15" ht="15">
      <c r="B157" s="438">
        <f>+B156+1</f>
        <v>89</v>
      </c>
      <c r="C157" s="439"/>
      <c r="D157" s="475" t="s">
        <v>488</v>
      </c>
      <c r="E157" s="436" t="str">
        <f>"(lns "&amp;B152&amp;" - "&amp;B154&amp;" - "&amp;B155&amp;" - "&amp;B156&amp;")"</f>
        <v>(lns 84 - 86 - 87 - 88)</v>
      </c>
      <c r="F157" s="475"/>
      <c r="G157" s="472">
        <f>G152-G154-G155-G156</f>
        <v>6107931</v>
      </c>
      <c r="H157" s="454"/>
      <c r="I157" s="467" t="s">
        <v>152</v>
      </c>
      <c r="J157" s="459">
        <f>L241</f>
        <v>0.982375647037389</v>
      </c>
      <c r="K157" s="454"/>
      <c r="L157" s="472">
        <f>+J157*G157</f>
        <v>6000282.6681847265</v>
      </c>
      <c r="M157" s="449"/>
      <c r="N157" s="454"/>
      <c r="O157" s="436"/>
    </row>
    <row r="158" spans="2:15" ht="15">
      <c r="B158" s="438"/>
      <c r="C158" s="439"/>
      <c r="D158" s="475"/>
      <c r="E158" s="454"/>
      <c r="F158" s="454"/>
      <c r="G158" s="556"/>
      <c r="H158" s="472"/>
      <c r="I158" s="479"/>
      <c r="J158" s="479"/>
      <c r="K158" s="441"/>
      <c r="L158" s="441"/>
      <c r="M158" s="449"/>
      <c r="N158" s="454"/>
      <c r="O158" s="436"/>
    </row>
    <row r="159" spans="2:15" ht="15">
      <c r="B159" s="438">
        <f>+B157+1</f>
        <v>90</v>
      </c>
      <c r="C159" s="439"/>
      <c r="D159" s="430" t="s">
        <v>135</v>
      </c>
      <c r="E159" s="436" t="s">
        <v>610</v>
      </c>
      <c r="F159" s="436"/>
      <c r="G159" s="1055">
        <v>23232806</v>
      </c>
      <c r="H159" s="472"/>
      <c r="I159" s="531"/>
      <c r="J159" s="531"/>
      <c r="K159" s="436"/>
      <c r="L159" s="530"/>
      <c r="M159" s="454"/>
      <c r="N159" s="454"/>
      <c r="O159" s="436"/>
    </row>
    <row r="160" spans="2:15" ht="15">
      <c r="B160" s="438">
        <f aca="true" t="shared" si="8" ref="B160:B169">+B159+1</f>
        <v>91</v>
      </c>
      <c r="C160" s="439"/>
      <c r="D160" s="475" t="s">
        <v>409</v>
      </c>
      <c r="E160" s="436" t="s">
        <v>517</v>
      </c>
      <c r="F160" s="436"/>
      <c r="G160" s="1055">
        <v>665351</v>
      </c>
      <c r="H160" s="472"/>
      <c r="I160" s="531"/>
      <c r="J160" s="430"/>
      <c r="K160" s="436"/>
      <c r="L160" s="530"/>
      <c r="M160" s="534"/>
      <c r="N160" s="454"/>
      <c r="O160" s="436"/>
    </row>
    <row r="161" spans="2:15" ht="15">
      <c r="B161" s="438">
        <f t="shared" si="8"/>
        <v>92</v>
      </c>
      <c r="C161" s="439"/>
      <c r="D161" s="475" t="s">
        <v>637</v>
      </c>
      <c r="E161" s="436" t="s">
        <v>509</v>
      </c>
      <c r="F161" s="436"/>
      <c r="G161" s="472">
        <f>'KP -WS O'!G35+'KP -WS O'!G37</f>
        <v>-3196538</v>
      </c>
      <c r="H161" s="472"/>
      <c r="I161" s="531"/>
      <c r="J161" s="430"/>
      <c r="K161" s="436"/>
      <c r="L161" s="530"/>
      <c r="M161" s="534"/>
      <c r="N161" s="454"/>
      <c r="O161" s="436"/>
    </row>
    <row r="162" spans="2:15" ht="15">
      <c r="B162" s="438">
        <f t="shared" si="8"/>
        <v>93</v>
      </c>
      <c r="C162" s="439"/>
      <c r="D162" s="430" t="s">
        <v>611</v>
      </c>
      <c r="E162" s="436" t="s">
        <v>510</v>
      </c>
      <c r="F162" s="436"/>
      <c r="G162" s="472">
        <f>'KP -WS O'!F39</f>
        <v>0</v>
      </c>
      <c r="H162" s="472"/>
      <c r="I162" s="531"/>
      <c r="J162" s="430"/>
      <c r="K162" s="436"/>
      <c r="L162" s="530"/>
      <c r="M162" s="534"/>
      <c r="N162" s="454"/>
      <c r="O162" s="436"/>
    </row>
    <row r="163" spans="2:15" ht="15">
      <c r="B163" s="438">
        <f t="shared" si="8"/>
        <v>94</v>
      </c>
      <c r="C163" s="439"/>
      <c r="D163" s="430" t="s">
        <v>628</v>
      </c>
      <c r="E163" s="436" t="s">
        <v>511</v>
      </c>
      <c r="F163" s="436"/>
      <c r="G163" s="472">
        <f>'KP -WS O'!G43</f>
        <v>-284735</v>
      </c>
      <c r="H163" s="472"/>
      <c r="I163" s="531"/>
      <c r="J163" s="430"/>
      <c r="K163" s="436"/>
      <c r="L163" s="530"/>
      <c r="M163" s="534"/>
      <c r="N163" s="454"/>
      <c r="O163" s="436"/>
    </row>
    <row r="164" spans="2:15" ht="15">
      <c r="B164" s="438">
        <f t="shared" si="8"/>
        <v>95</v>
      </c>
      <c r="C164" s="439"/>
      <c r="D164" s="430" t="s">
        <v>406</v>
      </c>
      <c r="E164" s="436" t="s">
        <v>127</v>
      </c>
      <c r="F164" s="454"/>
      <c r="G164" s="1055">
        <v>0</v>
      </c>
      <c r="H164" s="472"/>
      <c r="I164" s="531"/>
      <c r="J164" s="557"/>
      <c r="K164" s="436"/>
      <c r="L164" s="530"/>
      <c r="M164" s="454"/>
      <c r="N164" s="454"/>
      <c r="O164" s="436"/>
    </row>
    <row r="165" spans="2:15" ht="15">
      <c r="B165" s="438">
        <f t="shared" si="8"/>
        <v>96</v>
      </c>
      <c r="C165" s="439"/>
      <c r="D165" s="475" t="s">
        <v>139</v>
      </c>
      <c r="E165" s="436" t="s">
        <v>128</v>
      </c>
      <c r="F165" s="454"/>
      <c r="G165" s="1055">
        <v>46676</v>
      </c>
      <c r="H165" s="472"/>
      <c r="I165" s="531"/>
      <c r="J165" s="531"/>
      <c r="K165" s="436"/>
      <c r="L165" s="530"/>
      <c r="M165" s="454"/>
      <c r="N165" s="454"/>
      <c r="O165" s="436"/>
    </row>
    <row r="166" spans="2:15" ht="15.75" thickBot="1">
      <c r="B166" s="438">
        <f t="shared" si="8"/>
        <v>97</v>
      </c>
      <c r="C166" s="439"/>
      <c r="D166" s="475" t="s">
        <v>410</v>
      </c>
      <c r="E166" s="436" t="s">
        <v>129</v>
      </c>
      <c r="F166" s="454"/>
      <c r="G166" s="1056">
        <v>318019</v>
      </c>
      <c r="H166" s="472"/>
      <c r="I166" s="531"/>
      <c r="J166" s="531"/>
      <c r="K166" s="436"/>
      <c r="L166" s="530"/>
      <c r="M166" s="454"/>
      <c r="N166" s="454"/>
      <c r="O166" s="436"/>
    </row>
    <row r="167" spans="2:15" ht="15">
      <c r="B167" s="438">
        <f>+B166+1</f>
        <v>98</v>
      </c>
      <c r="C167" s="439"/>
      <c r="D167" s="430" t="s">
        <v>140</v>
      </c>
      <c r="E167" s="454" t="str">
        <f>"(ln "&amp;B159&amp;" - sum ln "&amp;B160&amp;"  to ln "&amp;B166&amp;")"</f>
        <v>(ln 90 - sum ln 91  to ln 97)</v>
      </c>
      <c r="F167" s="454"/>
      <c r="G167" s="472">
        <f>G159-SUM(G160:G166)</f>
        <v>25684033</v>
      </c>
      <c r="H167" s="472"/>
      <c r="I167" s="467" t="s">
        <v>164</v>
      </c>
      <c r="J167" s="459">
        <f>L251</f>
        <v>0.06815939480383283</v>
      </c>
      <c r="K167" s="436"/>
      <c r="L167" s="530">
        <f>+J167*G167</f>
        <v>1750608.145401671</v>
      </c>
      <c r="M167" s="454"/>
      <c r="N167" s="454"/>
      <c r="O167" s="436"/>
    </row>
    <row r="168" spans="2:15" ht="15">
      <c r="B168" s="438">
        <f t="shared" si="8"/>
        <v>99</v>
      </c>
      <c r="C168" s="464"/>
      <c r="D168" s="475" t="s">
        <v>245</v>
      </c>
      <c r="E168" s="454" t="str">
        <f>"(ln "&amp;B160&amp;")"</f>
        <v>(ln 91)</v>
      </c>
      <c r="F168" s="454"/>
      <c r="G168" s="472">
        <f>+G160</f>
        <v>665351</v>
      </c>
      <c r="H168" s="472"/>
      <c r="I168" s="558" t="s">
        <v>416</v>
      </c>
      <c r="J168" s="459">
        <f>J75</f>
        <v>0.21806767370318333</v>
      </c>
      <c r="K168" s="454"/>
      <c r="L168" s="472">
        <f>+J168*G168</f>
        <v>145091.54476608674</v>
      </c>
      <c r="M168" s="454"/>
      <c r="N168" s="454"/>
      <c r="O168" s="436"/>
    </row>
    <row r="169" spans="2:15" ht="15">
      <c r="B169" s="438">
        <f t="shared" si="8"/>
        <v>100</v>
      </c>
      <c r="C169" s="439"/>
      <c r="D169" s="475" t="s">
        <v>305</v>
      </c>
      <c r="E169" s="454" t="str">
        <f>"Worksheet F ln "&amp;'KP WS F Misc Exp'!A39&amp;".(E) (Note L)"</f>
        <v>Worksheet F ln 19.(E) (Note L)</v>
      </c>
      <c r="F169" s="454"/>
      <c r="G169" s="472">
        <f>+'KP WS F Misc Exp'!F39</f>
        <v>0</v>
      </c>
      <c r="H169" s="472"/>
      <c r="I169" s="467" t="s">
        <v>152</v>
      </c>
      <c r="J169" s="459">
        <f>L241</f>
        <v>0.982375647037389</v>
      </c>
      <c r="K169" s="436"/>
      <c r="L169" s="530">
        <f>J169*G169</f>
        <v>0</v>
      </c>
      <c r="M169" s="454"/>
      <c r="N169" s="454"/>
      <c r="O169" s="436"/>
    </row>
    <row r="170" spans="2:15" ht="15">
      <c r="B170" s="438">
        <f>B169+1</f>
        <v>101</v>
      </c>
      <c r="C170" s="439"/>
      <c r="D170" s="475" t="s">
        <v>316</v>
      </c>
      <c r="E170" s="454" t="str">
        <f>"Worksheet F ln "&amp;'KP WS F Misc Exp'!A53&amp;".(E) (Note L)"</f>
        <v>Worksheet F ln 30.(E) (Note L)</v>
      </c>
      <c r="F170" s="454"/>
      <c r="G170" s="457">
        <f>+'KP WS F Misc Exp'!F53</f>
        <v>0</v>
      </c>
      <c r="H170" s="454"/>
      <c r="I170" s="458" t="s">
        <v>152</v>
      </c>
      <c r="J170" s="459">
        <f>L241</f>
        <v>0.982375647037389</v>
      </c>
      <c r="K170" s="436"/>
      <c r="L170" s="530">
        <f>+J170*G170</f>
        <v>0</v>
      </c>
      <c r="M170" s="454"/>
      <c r="N170" s="454"/>
      <c r="O170" s="436"/>
    </row>
    <row r="171" spans="2:15" ht="15">
      <c r="B171" s="438">
        <f>+B170+1</f>
        <v>102</v>
      </c>
      <c r="C171" s="439"/>
      <c r="D171" s="475" t="s">
        <v>317</v>
      </c>
      <c r="E171" s="454" t="str">
        <f>"Worksheet F ln "&amp;'KP WS F Misc Exp'!A63&amp;".(E) (Note L)"</f>
        <v>Worksheet F ln 37.(E) (Note L)</v>
      </c>
      <c r="F171" s="454"/>
      <c r="G171" s="457">
        <f>+'KP WS F Misc Exp'!F63</f>
        <v>24742</v>
      </c>
      <c r="H171" s="559"/>
      <c r="I171" s="458" t="s">
        <v>161</v>
      </c>
      <c r="J171" s="459">
        <v>1</v>
      </c>
      <c r="K171" s="436"/>
      <c r="L171" s="560">
        <f>+J171*G171</f>
        <v>24742</v>
      </c>
      <c r="M171" s="454"/>
      <c r="N171" s="454"/>
      <c r="O171" s="436"/>
    </row>
    <row r="172" spans="2:15" ht="15.75" thickBot="1">
      <c r="B172" s="438">
        <f>+B171+1</f>
        <v>103</v>
      </c>
      <c r="C172" s="439"/>
      <c r="D172" s="475" t="s">
        <v>564</v>
      </c>
      <c r="E172" s="436" t="s">
        <v>512</v>
      </c>
      <c r="F172" s="454"/>
      <c r="G172" s="514">
        <f>'KP -WS O'!E22</f>
        <v>0</v>
      </c>
      <c r="H172" s="454"/>
      <c r="I172" s="458" t="s">
        <v>164</v>
      </c>
      <c r="J172" s="459">
        <f>L251</f>
        <v>0.06815939480383283</v>
      </c>
      <c r="K172" s="454"/>
      <c r="L172" s="514">
        <f>+G172*J172</f>
        <v>0</v>
      </c>
      <c r="M172" s="454"/>
      <c r="N172" s="454"/>
      <c r="O172" s="436"/>
    </row>
    <row r="173" spans="2:15" ht="15">
      <c r="B173" s="438">
        <f>+B172+1</f>
        <v>104</v>
      </c>
      <c r="C173" s="439"/>
      <c r="D173" s="430" t="s">
        <v>141</v>
      </c>
      <c r="E173" s="454" t="str">
        <f>"(sum lns "&amp;B167&amp;"  to "&amp;B172&amp;")"</f>
        <v>(sum lns 98  to 103)</v>
      </c>
      <c r="F173" s="454"/>
      <c r="G173" s="530">
        <f>SUM(G167:G172)</f>
        <v>26374126</v>
      </c>
      <c r="H173" s="472"/>
      <c r="I173" s="467"/>
      <c r="J173" s="531"/>
      <c r="K173" s="436"/>
      <c r="L173" s="530">
        <f>SUM(L167:L172)</f>
        <v>1920441.6901677577</v>
      </c>
      <c r="M173" s="454"/>
      <c r="N173" s="472"/>
      <c r="O173" s="436"/>
    </row>
    <row r="174" spans="2:15" ht="15.75" thickBot="1">
      <c r="B174" s="438"/>
      <c r="C174" s="439"/>
      <c r="D174" s="475"/>
      <c r="E174" s="454"/>
      <c r="F174" s="454"/>
      <c r="G174" s="514"/>
      <c r="H174" s="454"/>
      <c r="I174" s="467"/>
      <c r="J174" s="531"/>
      <c r="K174" s="436"/>
      <c r="L174" s="540"/>
      <c r="M174" s="454"/>
      <c r="N174" s="454"/>
      <c r="O174" s="436"/>
    </row>
    <row r="175" spans="2:15" ht="15">
      <c r="B175" s="438">
        <f>+B173+1</f>
        <v>105</v>
      </c>
      <c r="C175" s="464"/>
      <c r="D175" s="475" t="s">
        <v>513</v>
      </c>
      <c r="E175" s="454" t="str">
        <f>"(ln "&amp;B157&amp;" + ln "&amp;B173&amp;")"</f>
        <v>(ln 89 + ln 104)</v>
      </c>
      <c r="F175" s="454"/>
      <c r="G175" s="472">
        <f>+G157+G173</f>
        <v>32482057</v>
      </c>
      <c r="H175" s="472"/>
      <c r="I175" s="458"/>
      <c r="J175" s="454"/>
      <c r="K175" s="454"/>
      <c r="L175" s="472">
        <f>L157+L173</f>
        <v>7920724.358352484</v>
      </c>
      <c r="M175" s="454"/>
      <c r="N175" s="454"/>
      <c r="O175" s="436"/>
    </row>
    <row r="176" spans="2:15" ht="15">
      <c r="B176" s="438">
        <f>+B175+1</f>
        <v>106</v>
      </c>
      <c r="C176" s="464"/>
      <c r="D176" s="475" t="s">
        <v>714</v>
      </c>
      <c r="E176" s="454"/>
      <c r="F176" s="454"/>
      <c r="G176" s="561"/>
      <c r="H176" s="472"/>
      <c r="I176" s="458"/>
      <c r="J176" s="459"/>
      <c r="K176" s="454"/>
      <c r="L176" s="472"/>
      <c r="M176" s="454"/>
      <c r="N176" s="454"/>
      <c r="O176" s="436"/>
    </row>
    <row r="177" spans="2:15" ht="15.75" thickBot="1">
      <c r="B177" s="438">
        <f>+B176+1</f>
        <v>107</v>
      </c>
      <c r="C177" s="464"/>
      <c r="D177" s="475" t="s">
        <v>622</v>
      </c>
      <c r="E177" s="475"/>
      <c r="F177" s="454"/>
      <c r="G177" s="1056">
        <v>0</v>
      </c>
      <c r="H177" s="472"/>
      <c r="I177" s="467" t="s">
        <v>161</v>
      </c>
      <c r="J177" s="459">
        <v>1</v>
      </c>
      <c r="K177" s="454"/>
      <c r="L177" s="540">
        <f>J177*G177</f>
        <v>0</v>
      </c>
      <c r="M177" s="454"/>
      <c r="N177" s="454"/>
      <c r="O177" s="436"/>
    </row>
    <row r="178" spans="2:15" ht="15">
      <c r="B178" s="438">
        <f>+B177+1</f>
        <v>108</v>
      </c>
      <c r="C178" s="439"/>
      <c r="D178" s="475" t="s">
        <v>142</v>
      </c>
      <c r="E178" s="454" t="str">
        <f>"(ln "&amp;B175&amp;" + ln "&amp;B177&amp;")"</f>
        <v>(ln 105 + ln 107)</v>
      </c>
      <c r="F178" s="454"/>
      <c r="G178" s="472">
        <f>+G175+G176+G177</f>
        <v>32482057</v>
      </c>
      <c r="H178" s="472"/>
      <c r="I178" s="458"/>
      <c r="J178" s="454"/>
      <c r="K178" s="454"/>
      <c r="L178" s="472">
        <f>+L175+L176+L177</f>
        <v>7920724.358352484</v>
      </c>
      <c r="M178" s="454"/>
      <c r="N178" s="454"/>
      <c r="O178" s="436"/>
    </row>
    <row r="179" spans="2:15" ht="15">
      <c r="B179" s="438"/>
      <c r="C179" s="439"/>
      <c r="D179" s="475"/>
      <c r="E179" s="436"/>
      <c r="F179" s="436"/>
      <c r="G179" s="530"/>
      <c r="H179" s="454"/>
      <c r="I179" s="436"/>
      <c r="J179" s="436"/>
      <c r="K179" s="436"/>
      <c r="L179" s="530"/>
      <c r="M179" s="454"/>
      <c r="N179" s="454"/>
      <c r="O179" s="436"/>
    </row>
    <row r="180" spans="2:15" ht="15">
      <c r="B180" s="438">
        <f>+B178+1</f>
        <v>109</v>
      </c>
      <c r="C180" s="439"/>
      <c r="D180" s="502" t="s">
        <v>145</v>
      </c>
      <c r="E180" s="458"/>
      <c r="F180" s="458"/>
      <c r="G180" s="530"/>
      <c r="H180" s="454"/>
      <c r="I180" s="467"/>
      <c r="J180" s="436"/>
      <c r="K180" s="436"/>
      <c r="L180" s="530"/>
      <c r="M180" s="454"/>
      <c r="N180" s="454"/>
      <c r="O180" s="436"/>
    </row>
    <row r="181" spans="2:15" ht="15">
      <c r="B181" s="438">
        <f aca="true" t="shared" si="9" ref="B181:B187">+B180+1</f>
        <v>110</v>
      </c>
      <c r="C181" s="439"/>
      <c r="D181" s="430" t="s">
        <v>158</v>
      </c>
      <c r="E181" s="453" t="s">
        <v>523</v>
      </c>
      <c r="F181" s="458"/>
      <c r="G181" s="1055">
        <f>37512716+227036</f>
        <v>37739752</v>
      </c>
      <c r="H181" s="454"/>
      <c r="I181" s="467" t="s">
        <v>159</v>
      </c>
      <c r="J181" s="459">
        <v>0</v>
      </c>
      <c r="K181" s="436"/>
      <c r="L181" s="472">
        <f>+G181*J181</f>
        <v>0</v>
      </c>
      <c r="M181" s="454"/>
      <c r="N181" s="454"/>
      <c r="O181" s="436"/>
    </row>
    <row r="182" spans="2:15" ht="15">
      <c r="B182" s="438">
        <f t="shared" si="9"/>
        <v>111</v>
      </c>
      <c r="C182" s="439"/>
      <c r="D182" s="475" t="s">
        <v>162</v>
      </c>
      <c r="E182" s="453" t="s">
        <v>522</v>
      </c>
      <c r="F182" s="458"/>
      <c r="G182" s="1055">
        <v>28239560</v>
      </c>
      <c r="H182" s="454"/>
      <c r="I182" s="467" t="s">
        <v>159</v>
      </c>
      <c r="J182" s="459">
        <v>0</v>
      </c>
      <c r="K182" s="436"/>
      <c r="L182" s="472">
        <f>+G182*J182</f>
        <v>0</v>
      </c>
      <c r="M182" s="454"/>
      <c r="N182" s="454"/>
      <c r="O182" s="436"/>
    </row>
    <row r="183" spans="2:15" ht="15">
      <c r="B183" s="438">
        <f t="shared" si="9"/>
        <v>112</v>
      </c>
      <c r="C183" s="439"/>
      <c r="D183" s="505" t="str">
        <f>+D152</f>
        <v>  Transmission </v>
      </c>
      <c r="E183" s="453" t="s">
        <v>518</v>
      </c>
      <c r="F183" s="562"/>
      <c r="G183" s="1055">
        <f>15591666+219161</f>
        <v>15810827</v>
      </c>
      <c r="H183" s="563"/>
      <c r="I183" s="564" t="s">
        <v>44</v>
      </c>
      <c r="J183" s="459">
        <f>J80</f>
        <v>0.9724528763310296</v>
      </c>
      <c r="K183" s="565"/>
      <c r="L183" s="566">
        <f>J183*G183</f>
        <v>15375284.193322305</v>
      </c>
      <c r="M183" s="508"/>
      <c r="N183" s="454"/>
      <c r="O183" s="436"/>
    </row>
    <row r="184" spans="2:15" ht="15.75">
      <c r="B184" s="438">
        <f>+B183+1</f>
        <v>113</v>
      </c>
      <c r="C184" s="439"/>
      <c r="D184" s="511" t="s">
        <v>714</v>
      </c>
      <c r="E184" s="506"/>
      <c r="F184" s="506"/>
      <c r="G184" s="512" t="s">
        <v>475</v>
      </c>
      <c r="H184" s="530"/>
      <c r="I184" s="467"/>
      <c r="J184" s="531"/>
      <c r="K184" s="436"/>
      <c r="L184" s="512" t="s">
        <v>475</v>
      </c>
      <c r="M184" s="508"/>
      <c r="N184" s="454"/>
      <c r="O184" s="436"/>
    </row>
    <row r="185" spans="2:15" ht="15">
      <c r="B185" s="438">
        <f>+B184+1</f>
        <v>114</v>
      </c>
      <c r="C185" s="439"/>
      <c r="D185" s="502" t="s">
        <v>168</v>
      </c>
      <c r="E185" s="562" t="s">
        <v>519</v>
      </c>
      <c r="F185" s="436"/>
      <c r="G185" s="1055">
        <v>1701846</v>
      </c>
      <c r="H185" s="472"/>
      <c r="I185" s="467" t="s">
        <v>164</v>
      </c>
      <c r="J185" s="459">
        <f>L251</f>
        <v>0.06815939480383283</v>
      </c>
      <c r="K185" s="436"/>
      <c r="L185" s="530">
        <f>+J185*G185</f>
        <v>115996.79340932368</v>
      </c>
      <c r="M185" s="454"/>
      <c r="N185" s="454"/>
      <c r="O185" s="436"/>
    </row>
    <row r="186" spans="2:15" ht="15.75" thickBot="1">
      <c r="B186" s="438">
        <f t="shared" si="9"/>
        <v>115</v>
      </c>
      <c r="C186" s="439"/>
      <c r="D186" s="502" t="s">
        <v>169</v>
      </c>
      <c r="E186" s="506" t="s">
        <v>520</v>
      </c>
      <c r="F186" s="454"/>
      <c r="G186" s="1056">
        <v>4396601</v>
      </c>
      <c r="H186" s="472"/>
      <c r="I186" s="467" t="s">
        <v>164</v>
      </c>
      <c r="J186" s="459">
        <f>L251</f>
        <v>0.06815939480383283</v>
      </c>
      <c r="K186" s="436"/>
      <c r="L186" s="540">
        <f>+J186*G186</f>
        <v>299669.6633539262</v>
      </c>
      <c r="M186" s="454"/>
      <c r="N186" s="454"/>
      <c r="O186" s="436"/>
    </row>
    <row r="187" spans="2:15" ht="15">
      <c r="B187" s="438">
        <f t="shared" si="9"/>
        <v>116</v>
      </c>
      <c r="C187" s="439"/>
      <c r="D187" s="502" t="s">
        <v>378</v>
      </c>
      <c r="E187" s="1180" t="str">
        <f>"(Ln "&amp;B181&amp;"+"&amp;B182&amp;"+
"&amp;B183&amp;"+"&amp;B184&amp;"+"&amp;B185&amp;"+"&amp;B186&amp;")"</f>
        <v>(Ln 110+111+
112+113+114+115)</v>
      </c>
      <c r="F187" s="436"/>
      <c r="G187" s="472">
        <f>+G181+G182+G183+G185+G186</f>
        <v>87888586</v>
      </c>
      <c r="H187" s="454"/>
      <c r="I187" s="467"/>
      <c r="J187" s="436"/>
      <c r="K187" s="436"/>
      <c r="L187" s="472">
        <f>+L181+L182+L183+L185+L186</f>
        <v>15790950.650085554</v>
      </c>
      <c r="M187" s="454"/>
      <c r="N187" s="454"/>
      <c r="O187" s="436"/>
    </row>
    <row r="188" spans="2:15" ht="15">
      <c r="B188" s="438"/>
      <c r="C188" s="439"/>
      <c r="D188" s="502"/>
      <c r="E188" s="1181"/>
      <c r="F188" s="436"/>
      <c r="G188" s="530"/>
      <c r="H188" s="454"/>
      <c r="I188" s="467"/>
      <c r="J188" s="436"/>
      <c r="K188" s="436"/>
      <c r="L188" s="530"/>
      <c r="M188" s="454"/>
      <c r="N188" s="454"/>
      <c r="O188" s="436"/>
    </row>
    <row r="189" spans="2:15" ht="15">
      <c r="B189" s="438">
        <f>+B187+1</f>
        <v>117</v>
      </c>
      <c r="C189" s="439"/>
      <c r="D189" s="502" t="s">
        <v>58</v>
      </c>
      <c r="E189" s="429" t="s">
        <v>521</v>
      </c>
      <c r="G189" s="530"/>
      <c r="H189" s="454"/>
      <c r="I189" s="467"/>
      <c r="J189" s="436"/>
      <c r="K189" s="436"/>
      <c r="L189" s="530"/>
      <c r="M189" s="454"/>
      <c r="N189" s="544"/>
      <c r="O189" s="436"/>
    </row>
    <row r="190" spans="2:15" ht="15">
      <c r="B190" s="438">
        <f aca="true" t="shared" si="10" ref="B190:B195">+B189+1</f>
        <v>118</v>
      </c>
      <c r="C190" s="439"/>
      <c r="D190" s="502" t="s">
        <v>170</v>
      </c>
      <c r="G190" s="530"/>
      <c r="H190" s="454"/>
      <c r="I190" s="467"/>
      <c r="K190" s="436"/>
      <c r="L190" s="530"/>
      <c r="M190" s="454"/>
      <c r="N190" s="454"/>
      <c r="O190" s="436"/>
    </row>
    <row r="191" spans="2:15" ht="15">
      <c r="B191" s="438">
        <f t="shared" si="10"/>
        <v>119</v>
      </c>
      <c r="C191" s="439"/>
      <c r="D191" s="502" t="s">
        <v>171</v>
      </c>
      <c r="E191" s="454" t="str">
        <f>"Worksheet H ln "&amp;'KP WS H Other Taxes'!A40&amp;"."&amp;'KP WS H Other Taxes'!I8&amp;""</f>
        <v>Worksheet H ln 22.(D)</v>
      </c>
      <c r="F191" s="436"/>
      <c r="G191" s="472">
        <f>+'KP WS H Other Taxes'!I40</f>
        <v>2664689</v>
      </c>
      <c r="H191" s="472"/>
      <c r="I191" s="467" t="s">
        <v>164</v>
      </c>
      <c r="J191" s="459">
        <f>L251</f>
        <v>0.06815939480383283</v>
      </c>
      <c r="K191" s="436"/>
      <c r="L191" s="530">
        <f>+J191*G191</f>
        <v>181623.5895804305</v>
      </c>
      <c r="M191" s="535"/>
      <c r="N191" s="454"/>
      <c r="O191" s="436"/>
    </row>
    <row r="192" spans="2:15" ht="15">
      <c r="B192" s="438">
        <f t="shared" si="10"/>
        <v>120</v>
      </c>
      <c r="C192" s="439"/>
      <c r="D192" s="502" t="s">
        <v>172</v>
      </c>
      <c r="E192" s="454" t="s">
        <v>146</v>
      </c>
      <c r="F192" s="436"/>
      <c r="G192" s="472"/>
      <c r="H192" s="472"/>
      <c r="I192" s="467"/>
      <c r="K192" s="436"/>
      <c r="L192" s="530"/>
      <c r="M192" s="454"/>
      <c r="N192" s="454"/>
      <c r="O192" s="436"/>
    </row>
    <row r="193" spans="2:15" ht="15">
      <c r="B193" s="438">
        <f t="shared" si="10"/>
        <v>121</v>
      </c>
      <c r="C193" s="464"/>
      <c r="D193" s="510" t="s">
        <v>173</v>
      </c>
      <c r="E193" s="454" t="str">
        <f>"Worksheet H ln "&amp;'KP WS H Other Taxes'!A40&amp;".(C) &amp; ln "&amp;'KP WS H Other Taxes'!A72&amp;"."&amp;'KP WS H Other Taxes'!G8&amp;""</f>
        <v>Worksheet H ln 22.(C) &amp; ln 46.(C)</v>
      </c>
      <c r="F193" s="454"/>
      <c r="G193" s="472">
        <f>+'KP WS H Other Taxes'!G40</f>
        <v>15496887</v>
      </c>
      <c r="H193" s="472"/>
      <c r="I193" s="458" t="s">
        <v>161</v>
      </c>
      <c r="J193" s="459"/>
      <c r="K193" s="454"/>
      <c r="L193" s="544">
        <f>+'KP WS H Other Taxes'!G72</f>
        <v>5216311.146931434</v>
      </c>
      <c r="M193" s="567"/>
      <c r="N193" s="544"/>
      <c r="O193" s="454"/>
    </row>
    <row r="194" spans="2:15" ht="15">
      <c r="B194" s="438">
        <f t="shared" si="10"/>
        <v>122</v>
      </c>
      <c r="C194" s="439"/>
      <c r="D194" s="502" t="s">
        <v>248</v>
      </c>
      <c r="E194" s="454" t="str">
        <f>"Worksheet H ln "&amp;'KP WS H Other Taxes'!A40&amp;"."&amp;'KP WS H Other Taxes'!M8&amp;""</f>
        <v>Worksheet H ln 22.(F)</v>
      </c>
      <c r="F194" s="436"/>
      <c r="G194" s="472">
        <f>+'KP WS H Other Taxes'!M40</f>
        <v>5819400</v>
      </c>
      <c r="H194" s="536"/>
      <c r="I194" s="467" t="s">
        <v>159</v>
      </c>
      <c r="J194" s="459">
        <v>0</v>
      </c>
      <c r="K194" s="436"/>
      <c r="L194" s="530">
        <f>+J194*G194</f>
        <v>0</v>
      </c>
      <c r="M194" s="454"/>
      <c r="N194" s="454"/>
      <c r="O194" s="436"/>
    </row>
    <row r="195" spans="2:15" ht="15.75" thickBot="1">
      <c r="B195" s="438">
        <f t="shared" si="10"/>
        <v>123</v>
      </c>
      <c r="C195" s="439"/>
      <c r="D195" s="502" t="s">
        <v>174</v>
      </c>
      <c r="E195" s="454" t="str">
        <f>"Worksheet H ln "&amp;'KP WS H Other Taxes'!A40&amp;"."&amp;'KP WS H Other Taxes'!K8&amp;""</f>
        <v>Worksheet H ln 22.(E)</v>
      </c>
      <c r="F195" s="436"/>
      <c r="G195" s="514">
        <f>+'KP WS H Other Taxes'!K40</f>
        <v>1137600</v>
      </c>
      <c r="H195" s="536"/>
      <c r="I195" s="467" t="s">
        <v>416</v>
      </c>
      <c r="J195" s="459">
        <f>J75</f>
        <v>0.21806767370318333</v>
      </c>
      <c r="K195" s="436"/>
      <c r="L195" s="540">
        <f>+J195*G195</f>
        <v>248073.78560474137</v>
      </c>
      <c r="M195" s="454"/>
      <c r="N195" s="454"/>
      <c r="O195" s="436"/>
    </row>
    <row r="196" spans="2:15" ht="15">
      <c r="B196" s="438">
        <f>+B195+1</f>
        <v>124</v>
      </c>
      <c r="C196" s="439"/>
      <c r="D196" s="502" t="s">
        <v>59</v>
      </c>
      <c r="E196" s="466" t="str">
        <f>"(sum lns "&amp;B191&amp;" to "&amp;B195&amp;")"</f>
        <v>(sum lns 119 to 123)</v>
      </c>
      <c r="F196" s="436"/>
      <c r="G196" s="472">
        <f>SUM(G191:G195)</f>
        <v>25118576</v>
      </c>
      <c r="H196" s="454"/>
      <c r="I196" s="467"/>
      <c r="J196" s="568"/>
      <c r="K196" s="436"/>
      <c r="L196" s="530">
        <f>SUM(L191:L195)</f>
        <v>5646008.522116606</v>
      </c>
      <c r="M196" s="454"/>
      <c r="N196" s="454"/>
      <c r="O196" s="436"/>
    </row>
    <row r="197" spans="2:15" ht="15">
      <c r="B197" s="438"/>
      <c r="C197" s="439"/>
      <c r="D197" s="502"/>
      <c r="E197" s="436"/>
      <c r="F197" s="436"/>
      <c r="G197" s="436"/>
      <c r="H197" s="454"/>
      <c r="I197" s="467"/>
      <c r="J197" s="568"/>
      <c r="K197" s="436"/>
      <c r="L197" s="436"/>
      <c r="M197" s="533"/>
      <c r="N197" s="454"/>
      <c r="O197" s="436"/>
    </row>
    <row r="198" spans="2:15" ht="15">
      <c r="B198" s="438">
        <f>+B196+1</f>
        <v>125</v>
      </c>
      <c r="C198" s="439"/>
      <c r="D198" s="502" t="s">
        <v>418</v>
      </c>
      <c r="E198" s="454" t="s">
        <v>524</v>
      </c>
      <c r="F198" s="569"/>
      <c r="G198" s="436"/>
      <c r="H198" s="479"/>
      <c r="I198" s="545"/>
      <c r="K198" s="436"/>
      <c r="L198" s="570"/>
      <c r="M198" s="454"/>
      <c r="N198" s="454"/>
      <c r="O198" s="436"/>
    </row>
    <row r="199" spans="2:15" ht="15">
      <c r="B199" s="438">
        <f aca="true" t="shared" si="11" ref="B199:B206">+B198+1</f>
        <v>126</v>
      </c>
      <c r="C199" s="439"/>
      <c r="D199" s="571" t="s">
        <v>419</v>
      </c>
      <c r="E199" s="436"/>
      <c r="F199" s="572"/>
      <c r="G199" s="573">
        <f>IF(F347&gt;0,1-(((1-F348)*(1-F347))/(1-F348*F347*F349)),0)</f>
        <v>0.38822</v>
      </c>
      <c r="H199" s="574"/>
      <c r="I199" s="574"/>
      <c r="K199" s="575"/>
      <c r="L199" s="570"/>
      <c r="M199" s="454"/>
      <c r="N199" s="454"/>
      <c r="O199" s="436"/>
    </row>
    <row r="200" spans="2:15" ht="15">
      <c r="B200" s="438">
        <f t="shared" si="11"/>
        <v>127</v>
      </c>
      <c r="C200" s="439"/>
      <c r="D200" s="462" t="s">
        <v>420</v>
      </c>
      <c r="E200" s="436"/>
      <c r="F200" s="572"/>
      <c r="G200" s="573">
        <f>IF(L265&gt;0,($G199/(1-$G199))*(1-$L265/$L268),0)</f>
        <v>0.39397887095353085</v>
      </c>
      <c r="H200" s="574"/>
      <c r="I200" s="574"/>
      <c r="K200" s="575"/>
      <c r="L200" s="570"/>
      <c r="M200" s="454"/>
      <c r="N200" s="454"/>
      <c r="O200" s="436"/>
    </row>
    <row r="201" spans="2:15" ht="15">
      <c r="B201" s="438">
        <f t="shared" si="11"/>
        <v>128</v>
      </c>
      <c r="C201" s="439"/>
      <c r="D201" s="510" t="str">
        <f>"       where WCLTD=(ln "&amp;B265&amp;") and WACC = (ln "&amp;B268&amp;")"</f>
        <v>       where WCLTD=(ln 167) and WACC = (ln 170)</v>
      </c>
      <c r="E201" s="454"/>
      <c r="F201" s="576"/>
      <c r="G201" s="436"/>
      <c r="H201" s="574"/>
      <c r="I201" s="574"/>
      <c r="J201" s="577"/>
      <c r="K201" s="575"/>
      <c r="L201" s="578"/>
      <c r="M201" s="454"/>
      <c r="N201" s="454"/>
      <c r="O201" s="436"/>
    </row>
    <row r="202" spans="2:15" ht="15">
      <c r="B202" s="438">
        <f t="shared" si="11"/>
        <v>129</v>
      </c>
      <c r="C202" s="439"/>
      <c r="D202" s="502" t="s">
        <v>528</v>
      </c>
      <c r="E202" s="579"/>
      <c r="F202" s="572"/>
      <c r="G202" s="436"/>
      <c r="H202" s="479"/>
      <c r="I202" s="545"/>
      <c r="J202" s="577"/>
      <c r="K202" s="575"/>
      <c r="L202" s="570"/>
      <c r="M202" s="454"/>
      <c r="N202" s="454"/>
      <c r="O202" s="436"/>
    </row>
    <row r="203" spans="2:15" ht="15">
      <c r="B203" s="438">
        <f t="shared" si="11"/>
        <v>130</v>
      </c>
      <c r="C203" s="439"/>
      <c r="D203" s="580" t="str">
        <f>"      GRCF=1 / (1 - T)  = (from ln "&amp;B199&amp;")"</f>
        <v>      GRCF=1 / (1 - T)  = (from ln 126)</v>
      </c>
      <c r="E203" s="569"/>
      <c r="F203" s="569"/>
      <c r="G203" s="581">
        <f>IF(G199&gt;0,1/(1-G199),0)</f>
        <v>1.6345745202523783</v>
      </c>
      <c r="H203" s="479"/>
      <c r="I203" s="484"/>
      <c r="J203" s="582"/>
      <c r="K203" s="583"/>
      <c r="L203" s="584"/>
      <c r="M203" s="454"/>
      <c r="N203" s="454"/>
      <c r="O203" s="436"/>
    </row>
    <row r="204" spans="2:15" ht="15">
      <c r="B204" s="438">
        <f t="shared" si="11"/>
        <v>131</v>
      </c>
      <c r="C204" s="439"/>
      <c r="D204" s="502" t="s">
        <v>421</v>
      </c>
      <c r="E204" s="531" t="s">
        <v>646</v>
      </c>
      <c r="F204" s="569"/>
      <c r="G204" s="1055">
        <v>-25656</v>
      </c>
      <c r="H204" s="479"/>
      <c r="I204" s="484"/>
      <c r="J204" s="585"/>
      <c r="K204" s="583"/>
      <c r="L204" s="570"/>
      <c r="M204" s="458"/>
      <c r="N204" s="454"/>
      <c r="O204" s="436"/>
    </row>
    <row r="205" spans="2:15" ht="15">
      <c r="B205" s="438">
        <f t="shared" si="11"/>
        <v>132</v>
      </c>
      <c r="C205" s="439"/>
      <c r="D205" s="462" t="s">
        <v>698</v>
      </c>
      <c r="E205" s="454" t="s">
        <v>712</v>
      </c>
      <c r="F205" s="586"/>
      <c r="G205" s="1055">
        <v>-26400</v>
      </c>
      <c r="H205" s="479"/>
      <c r="I205" s="458" t="s">
        <v>161</v>
      </c>
      <c r="J205" s="585"/>
      <c r="K205" s="583"/>
      <c r="L205" s="1149">
        <v>-30000</v>
      </c>
      <c r="M205" s="458"/>
      <c r="N205" s="454"/>
      <c r="O205" s="436"/>
    </row>
    <row r="206" spans="2:15" ht="15">
      <c r="B206" s="438">
        <f t="shared" si="11"/>
        <v>133</v>
      </c>
      <c r="C206" s="439"/>
      <c r="D206" s="462" t="s">
        <v>699</v>
      </c>
      <c r="E206" s="454" t="s">
        <v>712</v>
      </c>
      <c r="F206" s="586"/>
      <c r="G206" s="1055">
        <v>4097215</v>
      </c>
      <c r="H206" s="479"/>
      <c r="I206" s="458" t="s">
        <v>161</v>
      </c>
      <c r="J206" s="585"/>
      <c r="K206" s="583"/>
      <c r="L206" s="1149">
        <v>1350007</v>
      </c>
      <c r="M206" s="458"/>
      <c r="N206" s="454"/>
      <c r="O206" s="436"/>
    </row>
    <row r="207" spans="2:15" ht="15">
      <c r="B207" s="438"/>
      <c r="C207" s="439"/>
      <c r="D207" s="502"/>
      <c r="E207" s="436"/>
      <c r="F207" s="572"/>
      <c r="G207" s="530"/>
      <c r="H207" s="479"/>
      <c r="I207" s="484"/>
      <c r="J207" s="587"/>
      <c r="K207" s="583"/>
      <c r="L207" s="570"/>
      <c r="M207" s="454"/>
      <c r="N207" s="454"/>
      <c r="O207" s="436"/>
    </row>
    <row r="208" spans="2:15" ht="15">
      <c r="B208" s="438">
        <f>+B206+1</f>
        <v>134</v>
      </c>
      <c r="C208" s="439"/>
      <c r="D208" s="571" t="s">
        <v>422</v>
      </c>
      <c r="E208" s="586" t="str">
        <f>"(ln "&amp;B200&amp;" * ln "&amp;B215&amp;")"</f>
        <v>(ln 127 * ln 139)</v>
      </c>
      <c r="F208" s="588"/>
      <c r="G208" s="530">
        <f>+G200*G215</f>
        <v>34536059.20813922</v>
      </c>
      <c r="H208" s="479"/>
      <c r="I208" s="484"/>
      <c r="J208" s="587"/>
      <c r="K208" s="530"/>
      <c r="L208" s="530">
        <f>+L215*G200</f>
        <v>9745285.053737015</v>
      </c>
      <c r="M208" s="454"/>
      <c r="N208" s="454"/>
      <c r="O208" s="436"/>
    </row>
    <row r="209" spans="2:15" ht="15">
      <c r="B209" s="438">
        <f>+B208+1</f>
        <v>135</v>
      </c>
      <c r="C209" s="439"/>
      <c r="D209" s="462" t="s">
        <v>423</v>
      </c>
      <c r="E209" s="586" t="str">
        <f>"(ln "&amp;B203&amp;" * ln "&amp;B204&amp;")"</f>
        <v>(ln 130 * ln 131)</v>
      </c>
      <c r="F209" s="586"/>
      <c r="G209" s="560">
        <f>G203*G204</f>
        <v>-41936.64389159502</v>
      </c>
      <c r="H209" s="479"/>
      <c r="I209" s="589" t="s">
        <v>417</v>
      </c>
      <c r="J209" s="459">
        <f>NP_h</f>
        <v>0.2173362154280374</v>
      </c>
      <c r="K209" s="530"/>
      <c r="L209" s="560">
        <f>+G209*J209</f>
        <v>-9114.351471152584</v>
      </c>
      <c r="M209" s="454"/>
      <c r="N209" s="454"/>
      <c r="O209" s="436"/>
    </row>
    <row r="210" spans="2:15" ht="15">
      <c r="B210" s="438">
        <f>B209+1</f>
        <v>136</v>
      </c>
      <c r="C210" s="439"/>
      <c r="D210" s="462" t="s">
        <v>698</v>
      </c>
      <c r="E210" s="586" t="str">
        <f>"(ln "&amp;B203&amp;" * ln "&amp;B205&amp;")"</f>
        <v>(ln 130 * ln 132)</v>
      </c>
      <c r="F210" s="586"/>
      <c r="G210" s="560">
        <f>G205*G203</f>
        <v>-43152.767334662785</v>
      </c>
      <c r="H210" s="479"/>
      <c r="I210" s="589"/>
      <c r="J210" s="459"/>
      <c r="K210" s="530"/>
      <c r="L210" s="560">
        <f>L205*G203</f>
        <v>-49037.23560757135</v>
      </c>
      <c r="M210" s="454"/>
      <c r="N210" s="454"/>
      <c r="O210" s="436"/>
    </row>
    <row r="211" spans="2:15" ht="15">
      <c r="B211" s="438">
        <f>B210+1</f>
        <v>137</v>
      </c>
      <c r="C211" s="439"/>
      <c r="D211" s="462" t="s">
        <v>699</v>
      </c>
      <c r="E211" s="586" t="str">
        <f>"(ln "&amp;B203&amp;" * ln "&amp;B206&amp;")"</f>
        <v>(ln 130 * ln 133)</v>
      </c>
      <c r="F211" s="586"/>
      <c r="G211" s="590">
        <f>G206*G203</f>
        <v>6697203.242995848</v>
      </c>
      <c r="H211" s="479"/>
      <c r="I211" s="589"/>
      <c r="J211" s="459"/>
      <c r="K211" s="530"/>
      <c r="L211" s="590">
        <f>L206*G203</f>
        <v>2206687.044362352</v>
      </c>
      <c r="M211" s="454"/>
      <c r="N211" s="454"/>
      <c r="O211" s="436"/>
    </row>
    <row r="212" spans="2:15" ht="15">
      <c r="B212" s="438"/>
      <c r="C212" s="439"/>
      <c r="D212" s="462"/>
      <c r="E212" s="586"/>
      <c r="F212" s="586"/>
      <c r="G212" s="560"/>
      <c r="H212" s="479"/>
      <c r="I212" s="589"/>
      <c r="J212" s="459"/>
      <c r="K212" s="530"/>
      <c r="L212" s="560"/>
      <c r="M212" s="454"/>
      <c r="N212" s="454"/>
      <c r="O212" s="436"/>
    </row>
    <row r="213" spans="2:15" ht="15">
      <c r="B213" s="438">
        <f>+B211+1</f>
        <v>138</v>
      </c>
      <c r="C213" s="439"/>
      <c r="D213" s="571" t="s">
        <v>61</v>
      </c>
      <c r="E213" s="436" t="str">
        <f>"(sum lns "&amp;B208&amp;" to "&amp;B211&amp;")"</f>
        <v>(sum lns 134 to 137)</v>
      </c>
      <c r="F213" s="586"/>
      <c r="G213" s="486">
        <f>SUM(G208:G211)</f>
        <v>41148173.03990881</v>
      </c>
      <c r="H213" s="479"/>
      <c r="I213" s="484" t="s">
        <v>146</v>
      </c>
      <c r="J213" s="591"/>
      <c r="K213" s="530"/>
      <c r="L213" s="486">
        <f>SUM(L208:L211)</f>
        <v>11893820.511020642</v>
      </c>
      <c r="M213" s="454"/>
      <c r="N213" s="454"/>
      <c r="O213" s="436"/>
    </row>
    <row r="214" spans="2:15" ht="15">
      <c r="B214" s="438"/>
      <c r="C214" s="439"/>
      <c r="D214" s="502"/>
      <c r="E214" s="436"/>
      <c r="F214" s="436"/>
      <c r="G214" s="436"/>
      <c r="H214" s="454"/>
      <c r="I214" s="467"/>
      <c r="J214" s="568"/>
      <c r="K214" s="436"/>
      <c r="L214" s="436"/>
      <c r="M214" s="454"/>
      <c r="N214" s="454"/>
      <c r="O214" s="436"/>
    </row>
    <row r="215" spans="2:15" ht="15">
      <c r="B215" s="438">
        <f>+B213+1</f>
        <v>139</v>
      </c>
      <c r="C215" s="439"/>
      <c r="D215" s="580" t="s">
        <v>247</v>
      </c>
      <c r="E215" s="580" t="str">
        <f>"(ln "&amp;B133&amp;" * ln "&amp;B268&amp;")"</f>
        <v>(ln 79 * ln 170)</v>
      </c>
      <c r="F215" s="542"/>
      <c r="G215" s="530">
        <f>+$L268*G133</f>
        <v>87659673.53668742</v>
      </c>
      <c r="H215" s="454"/>
      <c r="I215" s="484"/>
      <c r="J215" s="530"/>
      <c r="K215" s="530"/>
      <c r="L215" s="530">
        <f>+L268*L133</f>
        <v>24735552.518719856</v>
      </c>
      <c r="M215" s="454"/>
      <c r="N215" s="592"/>
      <c r="O215" s="570"/>
    </row>
    <row r="216" spans="2:14" ht="15">
      <c r="B216" s="438"/>
      <c r="C216" s="439"/>
      <c r="D216" s="571"/>
      <c r="G216" s="530"/>
      <c r="H216" s="530"/>
      <c r="I216" s="484"/>
      <c r="J216" s="484"/>
      <c r="K216" s="530"/>
      <c r="L216" s="530"/>
      <c r="M216" s="454"/>
      <c r="N216" s="429"/>
    </row>
    <row r="217" spans="2:14" ht="15">
      <c r="B217" s="438">
        <f>+B215+1</f>
        <v>140</v>
      </c>
      <c r="C217" s="439"/>
      <c r="D217" s="593" t="s">
        <v>130</v>
      </c>
      <c r="F217" s="562"/>
      <c r="G217" s="472">
        <f>-'KP WS D IPP Credits'!C11</f>
        <v>9135</v>
      </c>
      <c r="H217" s="472"/>
      <c r="I217" s="539" t="s">
        <v>161</v>
      </c>
      <c r="J217" s="459">
        <v>1</v>
      </c>
      <c r="K217" s="566"/>
      <c r="L217" s="530">
        <f>+J217*G217</f>
        <v>9135</v>
      </c>
      <c r="M217" s="508"/>
      <c r="N217" s="429"/>
    </row>
    <row r="218" spans="2:14" ht="15">
      <c r="B218" s="438"/>
      <c r="C218" s="439"/>
      <c r="D218" s="593"/>
      <c r="F218" s="562"/>
      <c r="G218" s="472"/>
      <c r="H218" s="472"/>
      <c r="I218" s="539"/>
      <c r="J218" s="459"/>
      <c r="K218" s="566"/>
      <c r="L218" s="530"/>
      <c r="M218" s="508"/>
      <c r="N218" s="429"/>
    </row>
    <row r="219" spans="2:14" ht="15">
      <c r="B219" s="438">
        <f>+B217+1</f>
        <v>141</v>
      </c>
      <c r="C219" s="439"/>
      <c r="D219" s="593" t="str">
        <f>"(Gains) / Losses on Sales of Plant Held for Future Use (Worksheet N, ln "&amp;'KP WS N - Sale of Plant Held'!A31&amp;", Cols. ("&amp;'KP WS N - Sale of Plant Held'!O10&amp;" &amp; "&amp;'KP WS N - Sale of Plant Held'!S10&amp;")"</f>
        <v>(Gains) / Losses on Sales of Plant Held for Future Use (Worksheet N, ln 4, Cols. ((F) &amp; (H))</v>
      </c>
      <c r="E219" s="429"/>
      <c r="F219" s="506"/>
      <c r="G219" s="472">
        <f>+'KP WS N - Sale of Plant Held'!O31</f>
        <v>0</v>
      </c>
      <c r="H219" s="472"/>
      <c r="I219" s="594"/>
      <c r="J219" s="459"/>
      <c r="K219" s="509"/>
      <c r="L219" s="472">
        <f>'KP WS N - Sale of Plant Held'!S31</f>
        <v>0</v>
      </c>
      <c r="M219" s="508"/>
      <c r="N219" s="429"/>
    </row>
    <row r="220" spans="2:14" ht="15">
      <c r="B220" s="438"/>
      <c r="C220" s="439"/>
      <c r="D220" s="593"/>
      <c r="E220" s="429"/>
      <c r="F220" s="506"/>
      <c r="G220" s="472"/>
      <c r="H220" s="472"/>
      <c r="I220" s="594"/>
      <c r="J220" s="459"/>
      <c r="K220" s="509"/>
      <c r="L220" s="472"/>
      <c r="M220" s="508"/>
      <c r="N220" s="429"/>
    </row>
    <row r="221" spans="2:14" ht="15">
      <c r="B221" s="438">
        <f>+B219+1</f>
        <v>142</v>
      </c>
      <c r="C221" s="439"/>
      <c r="D221" s="593" t="str">
        <f>" Tax Impact on Net Loss / (Gain) on Sales of Plant Held for Future Use (ln "&amp;B219&amp;" * ln"&amp;B200&amp;")"</f>
        <v> Tax Impact on Net Loss / (Gain) on Sales of Plant Held for Future Use (ln 141 * ln127)</v>
      </c>
      <c r="E221" s="429"/>
      <c r="F221" s="506"/>
      <c r="G221" s="472">
        <f>-+G200*G219</f>
        <v>0</v>
      </c>
      <c r="H221" s="472"/>
      <c r="I221" s="594"/>
      <c r="J221" s="459"/>
      <c r="K221" s="509"/>
      <c r="L221" s="472">
        <f>L219*-G200</f>
        <v>0</v>
      </c>
      <c r="M221" s="508"/>
      <c r="N221" s="429"/>
    </row>
    <row r="222" spans="2:14" ht="15.75" thickBot="1">
      <c r="B222" s="438"/>
      <c r="C222" s="439"/>
      <c r="D222" s="502"/>
      <c r="G222" s="540"/>
      <c r="H222" s="595"/>
      <c r="I222" s="484"/>
      <c r="J222" s="484"/>
      <c r="K222" s="530"/>
      <c r="L222" s="540"/>
      <c r="M222" s="454"/>
      <c r="N222" s="429"/>
    </row>
    <row r="223" spans="2:14" ht="15.75" thickBot="1">
      <c r="B223" s="438">
        <f>+B221+1</f>
        <v>143</v>
      </c>
      <c r="C223" s="439"/>
      <c r="D223" s="424" t="s">
        <v>325</v>
      </c>
      <c r="G223" s="596">
        <f>+G217+G215+G213+G196+G187+G178+G219+G221</f>
        <v>274306200.57659626</v>
      </c>
      <c r="L223" s="596">
        <f>+L217+L215+L213+L196+L187+L178+L219+L221</f>
        <v>65996191.56029514</v>
      </c>
      <c r="M223" s="454"/>
      <c r="N223" s="429"/>
    </row>
    <row r="224" spans="2:14" ht="15.75" thickTop="1">
      <c r="B224" s="438"/>
      <c r="C224" s="439"/>
      <c r="D224" s="430" t="str">
        <f>"    (sum lns "&amp;B178&amp;", "&amp;B187&amp;", "&amp;B196&amp;", "&amp;B213&amp;", "&amp;B215&amp;", "&amp;B217&amp;", "&amp;B219&amp;", "&amp;B221&amp;")"</f>
        <v>    (sum lns 108, 116, 124, 138, 139, 140, 141, 142)</v>
      </c>
      <c r="F224" s="597"/>
      <c r="M224" s="454"/>
      <c r="N224" s="429"/>
    </row>
    <row r="225" spans="2:14" ht="15">
      <c r="B225" s="438"/>
      <c r="C225" s="439"/>
      <c r="F225" s="597"/>
      <c r="M225" s="454"/>
      <c r="N225" s="429"/>
    </row>
    <row r="226" spans="2:14" ht="15">
      <c r="B226" s="438"/>
      <c r="C226" s="439"/>
      <c r="D226" s="430"/>
      <c r="F226" s="545" t="str">
        <f>F136</f>
        <v>AEP East Companies </v>
      </c>
      <c r="M226" s="544"/>
      <c r="N226" s="429"/>
    </row>
    <row r="227" spans="2:14" ht="15">
      <c r="B227" s="438"/>
      <c r="C227" s="439"/>
      <c r="D227" s="430"/>
      <c r="F227" s="545" t="str">
        <f>F137</f>
        <v>Transmission Cost of Service Formula Rate</v>
      </c>
      <c r="M227" s="544"/>
      <c r="N227" s="429"/>
    </row>
    <row r="228" spans="2:14" ht="15">
      <c r="B228" s="424"/>
      <c r="C228" s="439"/>
      <c r="F228" s="545" t="str">
        <f>F138</f>
        <v>Utilizing  Actual/Projected FERC Form 1 Data</v>
      </c>
      <c r="M228" s="489"/>
      <c r="N228" s="429"/>
    </row>
    <row r="229" spans="2:14" ht="15">
      <c r="B229" s="438"/>
      <c r="C229" s="439"/>
      <c r="E229" s="545"/>
      <c r="F229" s="545"/>
      <c r="G229" s="545"/>
      <c r="H229" s="545"/>
      <c r="I229" s="545"/>
      <c r="J229" s="545"/>
      <c r="K229" s="545"/>
      <c r="M229" s="454"/>
      <c r="N229" s="429"/>
    </row>
    <row r="230" spans="2:14" ht="15">
      <c r="B230" s="438"/>
      <c r="C230" s="439"/>
      <c r="E230" s="430"/>
      <c r="F230" s="545" t="str">
        <f>F140</f>
        <v>KENTUCKY POWER COMPANY</v>
      </c>
      <c r="G230" s="430"/>
      <c r="H230" s="430"/>
      <c r="I230" s="430"/>
      <c r="J230" s="430"/>
      <c r="K230" s="430"/>
      <c r="L230" s="430"/>
      <c r="M230" s="475"/>
      <c r="N230" s="429"/>
    </row>
    <row r="231" spans="2:14" ht="15">
      <c r="B231" s="438"/>
      <c r="C231" s="439"/>
      <c r="E231" s="430"/>
      <c r="F231" s="545"/>
      <c r="G231" s="430"/>
      <c r="H231" s="430"/>
      <c r="I231" s="430"/>
      <c r="J231" s="430"/>
      <c r="K231" s="430"/>
      <c r="L231" s="430"/>
      <c r="M231" s="475"/>
      <c r="N231" s="429"/>
    </row>
    <row r="232" spans="2:14" ht="15.75">
      <c r="B232" s="438"/>
      <c r="C232" s="439"/>
      <c r="F232" s="551" t="s">
        <v>66</v>
      </c>
      <c r="H232" s="433"/>
      <c r="I232" s="433"/>
      <c r="J232" s="433"/>
      <c r="K232" s="433"/>
      <c r="L232" s="433"/>
      <c r="M232" s="454"/>
      <c r="N232" s="429"/>
    </row>
    <row r="233" spans="2:14" ht="15.75">
      <c r="B233" s="438"/>
      <c r="C233" s="439"/>
      <c r="D233" s="598"/>
      <c r="E233" s="433"/>
      <c r="F233" s="433"/>
      <c r="G233" s="433"/>
      <c r="H233" s="433"/>
      <c r="I233" s="433"/>
      <c r="J233" s="433"/>
      <c r="K233" s="433"/>
      <c r="L233" s="433"/>
      <c r="M233" s="454"/>
      <c r="N233" s="429"/>
    </row>
    <row r="234" spans="2:15" ht="15.75">
      <c r="B234" s="438" t="s">
        <v>148</v>
      </c>
      <c r="C234" s="439"/>
      <c r="D234" s="598"/>
      <c r="E234" s="433"/>
      <c r="F234" s="433"/>
      <c r="G234" s="433"/>
      <c r="H234" s="433"/>
      <c r="I234" s="433"/>
      <c r="J234" s="433"/>
      <c r="K234" s="433"/>
      <c r="L234" s="433"/>
      <c r="M234" s="454"/>
      <c r="N234" s="429"/>
      <c r="O234" s="429"/>
    </row>
    <row r="235" spans="2:16" ht="15.75" thickBot="1">
      <c r="B235" s="445" t="s">
        <v>149</v>
      </c>
      <c r="C235" s="446"/>
      <c r="D235" s="475" t="s">
        <v>287</v>
      </c>
      <c r="E235" s="449"/>
      <c r="F235" s="449"/>
      <c r="G235" s="449"/>
      <c r="H235" s="449"/>
      <c r="I235" s="449"/>
      <c r="J235" s="449"/>
      <c r="K235" s="429"/>
      <c r="M235" s="454"/>
      <c r="N235" s="429"/>
      <c r="O235" s="429"/>
      <c r="P235" s="441"/>
    </row>
    <row r="236" spans="2:16" ht="15">
      <c r="B236" s="438">
        <f>+B223+1</f>
        <v>144</v>
      </c>
      <c r="C236" s="439"/>
      <c r="D236" s="449" t="s">
        <v>198</v>
      </c>
      <c r="E236" s="599" t="str">
        <f>"(ln "&amp;B66&amp;")"</f>
        <v>(ln 21)</v>
      </c>
      <c r="F236" s="600"/>
      <c r="H236" s="601"/>
      <c r="I236" s="601"/>
      <c r="J236" s="601"/>
      <c r="K236" s="601"/>
      <c r="L236" s="457">
        <f>+G66</f>
        <v>578645753.5</v>
      </c>
      <c r="M236" s="454"/>
      <c r="N236" s="429"/>
      <c r="O236" s="429"/>
      <c r="P236" s="441"/>
    </row>
    <row r="237" spans="2:16" ht="15">
      <c r="B237" s="438">
        <f>+B236+1</f>
        <v>145</v>
      </c>
      <c r="C237" s="439"/>
      <c r="D237" s="449" t="s">
        <v>525</v>
      </c>
      <c r="E237" s="602"/>
      <c r="F237" s="602"/>
      <c r="G237" s="603"/>
      <c r="H237" s="602"/>
      <c r="I237" s="602"/>
      <c r="J237" s="602"/>
      <c r="K237" s="602"/>
      <c r="L237" s="1055"/>
      <c r="M237" s="454"/>
      <c r="N237" s="429"/>
      <c r="P237" s="441"/>
    </row>
    <row r="238" spans="2:16" ht="15.75" thickBot="1">
      <c r="B238" s="438">
        <f>+B237+1</f>
        <v>146</v>
      </c>
      <c r="C238" s="439"/>
      <c r="D238" s="600" t="str">
        <f>"  Less transmission plant included in OATT Ancillary Services (Worksheet A, ln "&amp;'KP WS A  - RB Support '!A62&amp;", Col. "&amp;'KP WS A  - RB Support '!G6&amp;")  (Note Q)"</f>
        <v>  Less transmission plant included in OATT Ancillary Services (Worksheet A, ln 23, Col. (E))  (Note Q)</v>
      </c>
      <c r="E238" s="600"/>
      <c r="F238" s="600"/>
      <c r="G238" s="501"/>
      <c r="H238" s="601"/>
      <c r="I238" s="601"/>
      <c r="J238" s="501"/>
      <c r="K238" s="601"/>
      <c r="L238" s="604">
        <f>+'KP WS A  - RB Support '!G62</f>
        <v>10198257</v>
      </c>
      <c r="M238" s="454"/>
      <c r="N238" s="429"/>
      <c r="P238" s="441"/>
    </row>
    <row r="239" spans="2:16" ht="15">
      <c r="B239" s="438">
        <f>+B238+1</f>
        <v>147</v>
      </c>
      <c r="C239" s="439"/>
      <c r="D239" s="449" t="s">
        <v>288</v>
      </c>
      <c r="E239" s="605" t="str">
        <f>"(ln "&amp;B236&amp;" - ln "&amp;B237&amp;" - ln "&amp;B238&amp;")"</f>
        <v>(ln 144 - ln 145 - ln 146)</v>
      </c>
      <c r="F239" s="600"/>
      <c r="H239" s="601"/>
      <c r="I239" s="601"/>
      <c r="J239" s="501"/>
      <c r="K239" s="601"/>
      <c r="L239" s="457">
        <f>L236-L237-L238</f>
        <v>568447496.5</v>
      </c>
      <c r="M239" s="454"/>
      <c r="N239" s="429"/>
      <c r="P239" s="441"/>
    </row>
    <row r="240" spans="2:16" ht="15">
      <c r="B240" s="438"/>
      <c r="C240" s="439"/>
      <c r="D240" s="429"/>
      <c r="E240" s="600"/>
      <c r="F240" s="600"/>
      <c r="G240" s="501"/>
      <c r="H240" s="601"/>
      <c r="I240" s="601"/>
      <c r="J240" s="501"/>
      <c r="K240" s="601"/>
      <c r="L240" s="602"/>
      <c r="M240" s="454"/>
      <c r="N240" s="429"/>
      <c r="P240" s="441"/>
    </row>
    <row r="241" spans="2:16" ht="15.75">
      <c r="B241" s="438">
        <f>+B239+1</f>
        <v>148</v>
      </c>
      <c r="C241" s="439"/>
      <c r="D241" s="449" t="s">
        <v>289</v>
      </c>
      <c r="E241" s="606" t="str">
        <f>"(ln "&amp;B239&amp;" / ln "&amp;B236&amp;")"</f>
        <v>(ln 147 / ln 144)</v>
      </c>
      <c r="F241" s="607"/>
      <c r="H241" s="608"/>
      <c r="I241" s="609"/>
      <c r="J241" s="609"/>
      <c r="K241" s="610" t="s">
        <v>175</v>
      </c>
      <c r="L241" s="611">
        <f>IF(L236&gt;0,L239/L236,0)</f>
        <v>0.982375647037389</v>
      </c>
      <c r="M241" s="454"/>
      <c r="N241" s="429"/>
      <c r="P241" s="441"/>
    </row>
    <row r="242" spans="2:14" ht="15.75">
      <c r="B242" s="438"/>
      <c r="C242" s="439"/>
      <c r="D242" s="612"/>
      <c r="E242" s="449"/>
      <c r="F242" s="449"/>
      <c r="G242" s="613"/>
      <c r="H242" s="449"/>
      <c r="I242" s="464"/>
      <c r="J242" s="449"/>
      <c r="K242" s="449"/>
      <c r="L242" s="433"/>
      <c r="M242" s="454"/>
      <c r="N242" s="429"/>
    </row>
    <row r="243" spans="2:14" ht="30">
      <c r="B243" s="438">
        <f>B241+1</f>
        <v>149</v>
      </c>
      <c r="C243" s="464"/>
      <c r="D243" s="475" t="s">
        <v>67</v>
      </c>
      <c r="E243" s="458" t="s">
        <v>424</v>
      </c>
      <c r="F243" s="458" t="s">
        <v>231</v>
      </c>
      <c r="G243" s="614" t="s">
        <v>280</v>
      </c>
      <c r="H243" s="546" t="s">
        <v>150</v>
      </c>
      <c r="I243" s="467"/>
      <c r="J243" s="436"/>
      <c r="K243" s="436"/>
      <c r="L243" s="436"/>
      <c r="M243" s="454"/>
      <c r="N243" s="429"/>
    </row>
    <row r="244" spans="2:14" ht="15">
      <c r="B244" s="438">
        <f aca="true" t="shared" si="12" ref="B244:B249">+B243+1</f>
        <v>150</v>
      </c>
      <c r="C244" s="464"/>
      <c r="D244" s="475" t="s">
        <v>158</v>
      </c>
      <c r="E244" s="436" t="s">
        <v>531</v>
      </c>
      <c r="F244" s="1057">
        <v>18098536</v>
      </c>
      <c r="G244" s="1057">
        <v>8152988</v>
      </c>
      <c r="H244" s="503">
        <f>+F244+G244</f>
        <v>26251524</v>
      </c>
      <c r="I244" s="467" t="s">
        <v>159</v>
      </c>
      <c r="J244" s="459">
        <v>0</v>
      </c>
      <c r="K244" s="615"/>
      <c r="L244" s="530">
        <f>(F244+G244)*J244</f>
        <v>0</v>
      </c>
      <c r="M244" s="454"/>
      <c r="N244" s="429"/>
    </row>
    <row r="245" spans="2:14" ht="15">
      <c r="B245" s="438">
        <f t="shared" si="12"/>
        <v>151</v>
      </c>
      <c r="C245" s="464"/>
      <c r="D245" s="510" t="s">
        <v>160</v>
      </c>
      <c r="E245" s="454" t="s">
        <v>29</v>
      </c>
      <c r="F245" s="1057">
        <v>75790</v>
      </c>
      <c r="G245" s="1057">
        <v>2860595</v>
      </c>
      <c r="H245" s="503">
        <f>+F245+G245</f>
        <v>2936385</v>
      </c>
      <c r="I245" s="464" t="s">
        <v>152</v>
      </c>
      <c r="J245" s="459">
        <f>L241</f>
        <v>0.982375647037389</v>
      </c>
      <c r="K245" s="615"/>
      <c r="L245" s="530">
        <f>(F245+G245)*J245</f>
        <v>2884633.1143258833</v>
      </c>
      <c r="M245" s="454"/>
      <c r="N245" s="429"/>
    </row>
    <row r="246" spans="2:14" ht="15">
      <c r="B246" s="438">
        <f t="shared" si="12"/>
        <v>152</v>
      </c>
      <c r="C246" s="464"/>
      <c r="D246" s="510" t="s">
        <v>292</v>
      </c>
      <c r="E246" s="436" t="s">
        <v>592</v>
      </c>
      <c r="F246" s="1057">
        <v>0</v>
      </c>
      <c r="G246" s="1057">
        <v>0</v>
      </c>
      <c r="H246" s="503">
        <v>0</v>
      </c>
      <c r="I246" s="467" t="s">
        <v>159</v>
      </c>
      <c r="J246" s="459">
        <v>0</v>
      </c>
      <c r="K246" s="615"/>
      <c r="L246" s="530">
        <f>(F246+G246)*J246</f>
        <v>0</v>
      </c>
      <c r="M246" s="454"/>
      <c r="N246" s="429"/>
    </row>
    <row r="247" spans="2:14" ht="15">
      <c r="B247" s="438">
        <f t="shared" si="12"/>
        <v>153</v>
      </c>
      <c r="C247" s="464"/>
      <c r="D247" s="510" t="s">
        <v>162</v>
      </c>
      <c r="E247" s="436" t="s">
        <v>529</v>
      </c>
      <c r="F247" s="1057">
        <v>8228443</v>
      </c>
      <c r="G247" s="1057">
        <v>994011</v>
      </c>
      <c r="H247" s="503">
        <f>+F247+G247</f>
        <v>9222454</v>
      </c>
      <c r="I247" s="467" t="s">
        <v>159</v>
      </c>
      <c r="J247" s="459">
        <v>0</v>
      </c>
      <c r="K247" s="615"/>
      <c r="L247" s="530">
        <f>(F247+G247)*J247</f>
        <v>0</v>
      </c>
      <c r="M247" s="454"/>
      <c r="N247" s="429"/>
    </row>
    <row r="248" spans="2:14" ht="15.75" thickBot="1">
      <c r="B248" s="438">
        <f t="shared" si="12"/>
        <v>154</v>
      </c>
      <c r="C248" s="464"/>
      <c r="D248" s="510" t="s">
        <v>249</v>
      </c>
      <c r="E248" s="436" t="s">
        <v>530</v>
      </c>
      <c r="F248" s="1058">
        <v>1892888</v>
      </c>
      <c r="G248" s="1058">
        <v>2018620</v>
      </c>
      <c r="H248" s="616">
        <f>+F248+G248</f>
        <v>3911508</v>
      </c>
      <c r="I248" s="467" t="s">
        <v>159</v>
      </c>
      <c r="J248" s="459">
        <v>0</v>
      </c>
      <c r="K248" s="615"/>
      <c r="L248" s="540">
        <f>(F248+G248)*J248</f>
        <v>0</v>
      </c>
      <c r="M248" s="454"/>
      <c r="N248" s="429"/>
    </row>
    <row r="249" spans="2:14" ht="15.75">
      <c r="B249" s="438">
        <f t="shared" si="12"/>
        <v>155</v>
      </c>
      <c r="C249" s="464"/>
      <c r="D249" s="510" t="s">
        <v>150</v>
      </c>
      <c r="E249" s="510" t="str">
        <f>"(sum lns "&amp;B244&amp;" to "&amp;B248&amp;")"</f>
        <v>(sum lns 150 to 154)</v>
      </c>
      <c r="F249" s="454">
        <f>SUM(F244:F248)</f>
        <v>28295657</v>
      </c>
      <c r="G249" s="454">
        <f>SUM(G244:G248)</f>
        <v>14026214</v>
      </c>
      <c r="H249" s="454">
        <f>SUM(H244:H248)</f>
        <v>42321871</v>
      </c>
      <c r="I249" s="467"/>
      <c r="J249" s="436"/>
      <c r="K249" s="436"/>
      <c r="L249" s="530">
        <f>SUM(L244:L248)</f>
        <v>2884633.1143258833</v>
      </c>
      <c r="M249" s="617"/>
      <c r="N249" s="429"/>
    </row>
    <row r="250" spans="2:14" ht="15">
      <c r="B250" s="438"/>
      <c r="C250" s="464"/>
      <c r="D250" s="510" t="s">
        <v>146</v>
      </c>
      <c r="E250" s="454" t="s">
        <v>146</v>
      </c>
      <c r="F250" s="454"/>
      <c r="G250" s="429"/>
      <c r="H250" s="454"/>
      <c r="I250" s="545"/>
      <c r="M250" s="429"/>
      <c r="N250" s="429"/>
    </row>
    <row r="251" spans="2:14" ht="15.75">
      <c r="B251" s="438">
        <f>B249+1</f>
        <v>156</v>
      </c>
      <c r="C251" s="439"/>
      <c r="D251" s="502" t="s">
        <v>68</v>
      </c>
      <c r="E251" s="454"/>
      <c r="F251" s="454"/>
      <c r="G251" s="454"/>
      <c r="H251" s="454"/>
      <c r="I251" s="545"/>
      <c r="K251" s="618" t="s">
        <v>69</v>
      </c>
      <c r="L251" s="619">
        <f>L249/(F249+G249)</f>
        <v>0.06815939480383283</v>
      </c>
      <c r="M251" s="429"/>
      <c r="N251" s="429"/>
    </row>
    <row r="252" spans="2:14" ht="15">
      <c r="B252" s="438"/>
      <c r="C252" s="439"/>
      <c r="D252" s="502"/>
      <c r="E252" s="454"/>
      <c r="F252" s="454"/>
      <c r="G252" s="454"/>
      <c r="H252" s="454"/>
      <c r="I252" s="467"/>
      <c r="J252" s="436"/>
      <c r="K252" s="436"/>
      <c r="L252" s="436"/>
      <c r="M252" s="454"/>
      <c r="N252" s="429"/>
    </row>
    <row r="253" spans="2:14" ht="15.75">
      <c r="B253" s="438"/>
      <c r="C253" s="439"/>
      <c r="D253" s="502"/>
      <c r="E253" s="597"/>
      <c r="F253" s="436"/>
      <c r="H253" s="436"/>
      <c r="I253" s="436"/>
      <c r="J253" s="436"/>
      <c r="K253" s="498"/>
      <c r="L253" s="620"/>
      <c r="M253" s="454"/>
      <c r="N253" s="429"/>
    </row>
    <row r="254" spans="2:14" ht="15.75" thickBot="1">
      <c r="B254" s="438">
        <f>+B251+1</f>
        <v>157</v>
      </c>
      <c r="C254" s="464"/>
      <c r="D254" s="510" t="s">
        <v>246</v>
      </c>
      <c r="E254" s="454"/>
      <c r="F254" s="454"/>
      <c r="G254" s="454"/>
      <c r="H254" s="454"/>
      <c r="I254" s="454"/>
      <c r="J254" s="454"/>
      <c r="K254" s="454"/>
      <c r="L254" s="621" t="s">
        <v>176</v>
      </c>
      <c r="M254" s="454"/>
      <c r="N254" s="429"/>
    </row>
    <row r="255" spans="2:14" ht="15">
      <c r="B255" s="438">
        <f aca="true" t="shared" si="13" ref="B255:B262">+B254+1</f>
        <v>158</v>
      </c>
      <c r="C255" s="464"/>
      <c r="D255" s="454" t="s">
        <v>285</v>
      </c>
      <c r="E255" s="424" t="str">
        <f>"(Worksheet M, ln. "&amp;'KP WS M - Avg Cap Structure'!A37&amp;", col. "&amp;'KP WS M - Avg Cap Structure'!E6&amp;")"</f>
        <v>(Worksheet M, ln. 21, col. (E))</v>
      </c>
      <c r="F255" s="454"/>
      <c r="G255" s="454"/>
      <c r="H255" s="454"/>
      <c r="I255" s="454"/>
      <c r="J255" s="454"/>
      <c r="K255" s="454"/>
      <c r="L255" s="472">
        <f>'KP WS M - Avg Cap Structure'!E37</f>
        <v>47340901</v>
      </c>
      <c r="M255" s="454"/>
      <c r="N255" s="429"/>
    </row>
    <row r="256" spans="2:14" ht="15">
      <c r="B256" s="438">
        <f t="shared" si="13"/>
        <v>159</v>
      </c>
      <c r="C256" s="464"/>
      <c r="D256" s="454" t="s">
        <v>286</v>
      </c>
      <c r="E256" s="424" t="str">
        <f>"(Worksheet M, ln. "&amp;'KP WS M - Avg Cap Structure'!A85&amp;", col. "&amp;'KP WS M - Avg Cap Structure'!E$6&amp;")"</f>
        <v>(Worksheet M, ln. 55, col. (E))</v>
      </c>
      <c r="F256" s="454"/>
      <c r="G256" s="454"/>
      <c r="H256" s="454"/>
      <c r="I256" s="454"/>
      <c r="J256" s="454"/>
      <c r="K256" s="454"/>
      <c r="L256" s="472">
        <f>+'KP WS M - Avg Cap Structure'!E85</f>
        <v>0</v>
      </c>
      <c r="M256" s="454"/>
      <c r="N256" s="429"/>
    </row>
    <row r="257" spans="2:14" ht="15">
      <c r="B257" s="438">
        <f t="shared" si="13"/>
        <v>160</v>
      </c>
      <c r="C257" s="464"/>
      <c r="D257" s="622" t="s">
        <v>318</v>
      </c>
      <c r="E257" s="454"/>
      <c r="F257" s="454"/>
      <c r="G257" s="454"/>
      <c r="H257" s="534"/>
      <c r="I257" s="454"/>
      <c r="J257" s="454"/>
      <c r="K257" s="454"/>
      <c r="L257" s="472"/>
      <c r="M257" s="454"/>
      <c r="N257" s="429"/>
    </row>
    <row r="258" spans="2:14" ht="15">
      <c r="B258" s="438">
        <f t="shared" si="13"/>
        <v>161</v>
      </c>
      <c r="C258" s="464"/>
      <c r="D258" s="454" t="s">
        <v>319</v>
      </c>
      <c r="E258" s="623" t="str">
        <f>"(Worksheet M, ln. "&amp;'KP WS M - Avg Cap Structure'!A11&amp;", col. "&amp;'KP WS M - Avg Cap Structure'!E$6&amp;")"</f>
        <v>(Worksheet M, ln. 1, col. (E))</v>
      </c>
      <c r="F258" s="454"/>
      <c r="G258" s="449"/>
      <c r="H258" s="536"/>
      <c r="I258" s="454"/>
      <c r="J258" s="454"/>
      <c r="K258" s="454"/>
      <c r="L258" s="472">
        <f>'KP WS M - Avg Cap Structure'!E11</f>
        <v>673377946</v>
      </c>
      <c r="M258" s="454"/>
      <c r="N258" s="429"/>
    </row>
    <row r="259" spans="2:14" ht="15">
      <c r="B259" s="438">
        <f t="shared" si="13"/>
        <v>162</v>
      </c>
      <c r="C259" s="464"/>
      <c r="D259" s="454" t="s">
        <v>465</v>
      </c>
      <c r="E259" s="623" t="str">
        <f>"(Worksheet M, ln. "&amp;'KP WS M - Avg Cap Structure'!A12&amp;", col. "&amp;'KP WS M - Avg Cap Structure'!E$6&amp;")"</f>
        <v>(Worksheet M, ln. 2, col. (E))</v>
      </c>
      <c r="F259" s="454"/>
      <c r="G259" s="454"/>
      <c r="H259" s="536"/>
      <c r="I259" s="454"/>
      <c r="J259" s="454"/>
      <c r="K259" s="454"/>
      <c r="L259" s="624">
        <f>+'KP WS M - Avg Cap Structure'!E94</f>
        <v>0</v>
      </c>
      <c r="M259" s="454"/>
      <c r="N259" s="429"/>
    </row>
    <row r="260" spans="2:14" ht="15">
      <c r="B260" s="438">
        <f>+B259+1</f>
        <v>163</v>
      </c>
      <c r="C260" s="464"/>
      <c r="D260" s="454" t="s">
        <v>458</v>
      </c>
      <c r="E260" s="623" t="str">
        <f>"(Worksheet M, ln. "&amp;'KP WS M - Avg Cap Structure'!A13&amp;", col. "&amp;'KP WS M - Avg Cap Structure'!E$6&amp;")"</f>
        <v>(Worksheet M, ln. 3, col. (E))</v>
      </c>
      <c r="F260" s="454"/>
      <c r="G260" s="454"/>
      <c r="H260" s="536"/>
      <c r="I260" s="454"/>
      <c r="J260" s="454"/>
      <c r="K260" s="454"/>
      <c r="L260" s="624">
        <f>'KP WS M - Avg Cap Structure'!E13</f>
        <v>0</v>
      </c>
      <c r="M260" s="454"/>
      <c r="N260" s="429"/>
    </row>
    <row r="261" spans="2:14" ht="15.75" thickBot="1">
      <c r="B261" s="438">
        <f t="shared" si="13"/>
        <v>164</v>
      </c>
      <c r="C261" s="464"/>
      <c r="D261" s="454" t="s">
        <v>464</v>
      </c>
      <c r="E261" s="623" t="str">
        <f>"(Worksheet M, ln. "&amp;'KP WS M - Avg Cap Structure'!A14&amp;", col. "&amp;'KP WS M - Avg Cap Structure'!E$6&amp;")"</f>
        <v>(Worksheet M, ln. 4, col. (E))</v>
      </c>
      <c r="F261" s="454"/>
      <c r="G261" s="454"/>
      <c r="H261" s="536"/>
      <c r="I261" s="454"/>
      <c r="J261" s="537"/>
      <c r="K261" s="454"/>
      <c r="L261" s="604">
        <f>'KP WS M - Avg Cap Structure'!E14</f>
        <v>-1307982</v>
      </c>
      <c r="M261" s="454"/>
      <c r="N261" s="429"/>
    </row>
    <row r="262" spans="2:13" ht="15">
      <c r="B262" s="438">
        <f t="shared" si="13"/>
        <v>165</v>
      </c>
      <c r="C262" s="464"/>
      <c r="D262" s="424" t="s">
        <v>320</v>
      </c>
      <c r="E262" s="454" t="str">
        <f>"(ln "&amp;B258&amp;" - ln "&amp;B259&amp;" - ln "&amp;B260&amp;" - ln "&amp;B261&amp;")"</f>
        <v>(ln 161 - ln 162 - ln 163 - ln 164)</v>
      </c>
      <c r="F262" s="625"/>
      <c r="G262" s="429"/>
      <c r="H262" s="449"/>
      <c r="I262" s="449"/>
      <c r="J262" s="449"/>
      <c r="K262" s="449"/>
      <c r="L262" s="472">
        <f>+L258-L259-L260-L261</f>
        <v>674685928</v>
      </c>
      <c r="M262" s="436"/>
    </row>
    <row r="263" spans="2:13" ht="15.75">
      <c r="B263" s="438"/>
      <c r="C263" s="464"/>
      <c r="D263" s="510"/>
      <c r="E263" s="454"/>
      <c r="F263" s="454"/>
      <c r="G263" s="1179"/>
      <c r="H263" s="1179"/>
      <c r="I263" s="626"/>
      <c r="J263" s="627" t="s">
        <v>177</v>
      </c>
      <c r="K263" s="454"/>
      <c r="L263" s="454"/>
      <c r="M263" s="436"/>
    </row>
    <row r="264" spans="2:21" ht="15.75" thickBot="1">
      <c r="B264" s="438">
        <f>+B262+1</f>
        <v>166</v>
      </c>
      <c r="C264" s="464"/>
      <c r="D264" s="510"/>
      <c r="F264" s="454"/>
      <c r="G264" s="628" t="s">
        <v>176</v>
      </c>
      <c r="H264" s="628" t="s">
        <v>178</v>
      </c>
      <c r="I264" s="626"/>
      <c r="J264" s="629" t="s">
        <v>527</v>
      </c>
      <c r="K264" s="454"/>
      <c r="L264" s="628" t="s">
        <v>179</v>
      </c>
      <c r="M264" s="436"/>
      <c r="N264" s="430"/>
      <c r="O264" s="430"/>
      <c r="P264" s="430"/>
      <c r="Q264" s="430"/>
      <c r="R264" s="430"/>
      <c r="S264" s="430"/>
      <c r="T264" s="430"/>
      <c r="U264" s="430"/>
    </row>
    <row r="265" spans="2:21" ht="15">
      <c r="B265" s="438">
        <f>+B264+1</f>
        <v>167</v>
      </c>
      <c r="C265" s="464"/>
      <c r="D265" s="630" t="str">
        <f>"  Long Term Debt  (Note T) Worksheet M, ln "&amp;'KP WS M - Avg Cap Structure'!A24&amp;", ln "&amp;'KP WS M - Avg Cap Structure'!A39&amp;", col. "&amp;'KP WS M - Avg Cap Structure'!E16&amp;")"</f>
        <v>  Long Term Debt  (Note T) Worksheet M, ln 11, ln 22, col. )</v>
      </c>
      <c r="F265" s="454"/>
      <c r="G265" s="472">
        <f>'KP WS M - Avg Cap Structure'!E24</f>
        <v>870000000</v>
      </c>
      <c r="H265" s="631">
        <f>IF($G$268&gt;0,G265/$G$268,0)</f>
        <v>0.5632212893441987</v>
      </c>
      <c r="I265" s="632"/>
      <c r="J265" s="633">
        <f>IF(G265&gt;0,L255/G265,0)</f>
        <v>0.054414828735632186</v>
      </c>
      <c r="K265" s="429"/>
      <c r="L265" s="634">
        <f>H265*J265</f>
        <v>0.030647589999926513</v>
      </c>
      <c r="M265" s="635"/>
      <c r="N265" s="430"/>
      <c r="O265" s="430"/>
      <c r="P265" s="430"/>
      <c r="Q265" s="430"/>
      <c r="R265" s="430"/>
      <c r="S265" s="430"/>
      <c r="T265" s="430"/>
      <c r="U265" s="430"/>
    </row>
    <row r="266" spans="2:13" ht="15">
      <c r="B266" s="438">
        <f>+B265+1</f>
        <v>168</v>
      </c>
      <c r="C266" s="464"/>
      <c r="D266" s="510" t="str">
        <f>"  Preferred Stock (ln "&amp;B259&amp;")"</f>
        <v>  Preferred Stock (ln 162)</v>
      </c>
      <c r="F266" s="429"/>
      <c r="G266" s="472">
        <f>+L259</f>
        <v>0</v>
      </c>
      <c r="H266" s="631">
        <f>IF($G$268&gt;0,G266/$G$268,0)</f>
        <v>0</v>
      </c>
      <c r="I266" s="632"/>
      <c r="J266" s="633">
        <f>IF(G266&gt;0,L256/G266,0)</f>
        <v>0</v>
      </c>
      <c r="K266" s="429"/>
      <c r="L266" s="636">
        <f>H266*J266</f>
        <v>0</v>
      </c>
      <c r="M266" s="436"/>
    </row>
    <row r="267" spans="2:13" ht="15.75" thickBot="1">
      <c r="B267" s="438">
        <f>+B266+1</f>
        <v>169</v>
      </c>
      <c r="C267" s="464"/>
      <c r="D267" s="510" t="str">
        <f>"  Common Stock (ln "&amp;B262&amp;")"</f>
        <v>  Common Stock (ln 165)</v>
      </c>
      <c r="F267" s="429"/>
      <c r="G267" s="514">
        <f>+L262</f>
        <v>674685928</v>
      </c>
      <c r="H267" s="631">
        <f>IF($G$268&gt;0,G267/$G$268,0)</f>
        <v>0.43677871065580137</v>
      </c>
      <c r="I267" s="632"/>
      <c r="J267" s="1059">
        <v>0.1149</v>
      </c>
      <c r="K267" s="429"/>
      <c r="L267" s="637">
        <f>H267*J267</f>
        <v>0.05018587385435158</v>
      </c>
      <c r="M267" s="436"/>
    </row>
    <row r="268" spans="2:13" ht="15.75">
      <c r="B268" s="438">
        <f>+B267+1</f>
        <v>170</v>
      </c>
      <c r="C268" s="464"/>
      <c r="D268" s="510" t="str">
        <f>" Total (Sum lns "&amp;B265&amp;" to "&amp;B267&amp;")"</f>
        <v> Total (Sum lns 167 to 169)</v>
      </c>
      <c r="F268" s="429"/>
      <c r="G268" s="472">
        <f>G267+G266+G265</f>
        <v>1544685928</v>
      </c>
      <c r="I268" s="626"/>
      <c r="J268" s="638"/>
      <c r="K268" s="532" t="s">
        <v>43</v>
      </c>
      <c r="L268" s="639">
        <f>SUM(L265:L267)</f>
        <v>0.08083346385427809</v>
      </c>
      <c r="M268" s="640"/>
    </row>
    <row r="269" spans="2:21" ht="15">
      <c r="B269" s="438"/>
      <c r="C269" s="479"/>
      <c r="D269" s="479"/>
      <c r="E269" s="441"/>
      <c r="F269" s="441"/>
      <c r="G269" s="441"/>
      <c r="H269" s="441"/>
      <c r="I269" s="441"/>
      <c r="J269" s="436"/>
      <c r="K269" s="433"/>
      <c r="L269" s="436"/>
      <c r="M269" s="433"/>
      <c r="N269" s="449"/>
      <c r="O269" s="449"/>
      <c r="P269" s="449"/>
      <c r="Q269" s="449"/>
      <c r="R269" s="449"/>
      <c r="S269" s="449"/>
      <c r="T269" s="449"/>
      <c r="U269" s="449"/>
    </row>
    <row r="270" spans="2:21" ht="15.75">
      <c r="B270" s="543"/>
      <c r="C270" s="439"/>
      <c r="D270" s="426"/>
      <c r="E270" s="426"/>
      <c r="F270" s="545" t="str">
        <f>F226</f>
        <v>AEP East Companies </v>
      </c>
      <c r="G270" s="427"/>
      <c r="H270" s="436"/>
      <c r="I270" s="436"/>
      <c r="J270" s="436"/>
      <c r="K270" s="433"/>
      <c r="L270" s="436"/>
      <c r="M270" s="641"/>
      <c r="N270" s="449"/>
      <c r="O270" s="449"/>
      <c r="P270" s="449"/>
      <c r="Q270" s="449"/>
      <c r="R270" s="449"/>
      <c r="S270" s="449"/>
      <c r="T270" s="449"/>
      <c r="U270" s="449"/>
    </row>
    <row r="271" spans="2:21" ht="15">
      <c r="B271" s="543"/>
      <c r="C271" s="439"/>
      <c r="D271" s="642"/>
      <c r="E271" s="439"/>
      <c r="F271" s="545" t="str">
        <f>F227</f>
        <v>Transmission Cost of Service Formula Rate</v>
      </c>
      <c r="G271" s="436"/>
      <c r="H271" s="436"/>
      <c r="I271" s="436"/>
      <c r="J271" s="436"/>
      <c r="K271" s="433"/>
      <c r="L271" s="452"/>
      <c r="M271" s="489"/>
      <c r="N271" s="449"/>
      <c r="O271" s="449"/>
      <c r="P271" s="449"/>
      <c r="Q271" s="449"/>
      <c r="R271" s="449"/>
      <c r="S271" s="449"/>
      <c r="T271" s="449"/>
      <c r="U271" s="449"/>
    </row>
    <row r="272" spans="2:21" ht="15.75">
      <c r="B272" s="543"/>
      <c r="C272" s="439"/>
      <c r="D272" s="642"/>
      <c r="E272" s="551"/>
      <c r="F272" s="545" t="str">
        <f>F228</f>
        <v>Utilizing  Actual/Projected FERC Form 1 Data</v>
      </c>
      <c r="G272" s="436"/>
      <c r="H272" s="436"/>
      <c r="I272" s="436"/>
      <c r="J272" s="436"/>
      <c r="K272" s="433"/>
      <c r="L272" s="452"/>
      <c r="M272" s="641"/>
      <c r="N272" s="449"/>
      <c r="O272" s="449"/>
      <c r="P272" s="449"/>
      <c r="Q272" s="449"/>
      <c r="R272" s="449"/>
      <c r="S272" s="449"/>
      <c r="T272" s="449"/>
      <c r="U272" s="449"/>
    </row>
    <row r="273" spans="2:21" ht="15.75">
      <c r="B273" s="438"/>
      <c r="C273" s="439"/>
      <c r="D273" s="642"/>
      <c r="E273" s="551"/>
      <c r="F273" s="545"/>
      <c r="G273" s="436"/>
      <c r="H273" s="436"/>
      <c r="I273" s="436"/>
      <c r="J273" s="436"/>
      <c r="K273" s="433"/>
      <c r="L273" s="452"/>
      <c r="M273" s="429"/>
      <c r="N273" s="449"/>
      <c r="O273" s="449"/>
      <c r="P273" s="449"/>
      <c r="Q273" s="449"/>
      <c r="R273" s="449"/>
      <c r="S273" s="449"/>
      <c r="T273" s="449"/>
      <c r="U273" s="449"/>
    </row>
    <row r="274" spans="2:21" ht="15.75">
      <c r="B274" s="438"/>
      <c r="C274" s="439"/>
      <c r="D274" s="642"/>
      <c r="E274" s="551"/>
      <c r="F274" s="545" t="str">
        <f>F230</f>
        <v>KENTUCKY POWER COMPANY</v>
      </c>
      <c r="G274" s="436"/>
      <c r="H274" s="436"/>
      <c r="I274" s="436"/>
      <c r="J274" s="436"/>
      <c r="K274" s="433"/>
      <c r="L274" s="452"/>
      <c r="M274" s="429"/>
      <c r="N274" s="449"/>
      <c r="O274" s="449"/>
      <c r="P274" s="449"/>
      <c r="Q274" s="449"/>
      <c r="R274" s="449"/>
      <c r="S274" s="449"/>
      <c r="T274" s="449"/>
      <c r="U274" s="449"/>
    </row>
    <row r="275" spans="2:21" ht="15.75">
      <c r="B275" s="438"/>
      <c r="C275" s="439"/>
      <c r="D275" s="642"/>
      <c r="E275" s="551"/>
      <c r="F275" s="545"/>
      <c r="G275" s="436"/>
      <c r="H275" s="436"/>
      <c r="I275" s="436"/>
      <c r="J275" s="436"/>
      <c r="K275" s="433"/>
      <c r="L275" s="452"/>
      <c r="M275" s="429"/>
      <c r="N275" s="449"/>
      <c r="O275" s="449"/>
      <c r="P275" s="449"/>
      <c r="Q275" s="449"/>
      <c r="R275" s="449"/>
      <c r="S275" s="449"/>
      <c r="T275" s="449"/>
      <c r="U275" s="449"/>
    </row>
    <row r="276" spans="2:21" ht="15.75">
      <c r="B276" s="643" t="s">
        <v>209</v>
      </c>
      <c r="C276" s="446"/>
      <c r="D276" s="475"/>
      <c r="E276" s="449"/>
      <c r="F276" s="643" t="s">
        <v>207</v>
      </c>
      <c r="G276" s="454"/>
      <c r="H276" s="454"/>
      <c r="I276" s="454"/>
      <c r="J276" s="454"/>
      <c r="K276" s="449"/>
      <c r="L276" s="454"/>
      <c r="M276" s="429"/>
      <c r="N276" s="449"/>
      <c r="O276" s="449"/>
      <c r="P276" s="449"/>
      <c r="Q276" s="449"/>
      <c r="R276" s="449"/>
      <c r="S276" s="449"/>
      <c r="T276" s="449"/>
      <c r="U276" s="449"/>
    </row>
    <row r="277" spans="3:21" ht="15">
      <c r="C277" s="446"/>
      <c r="L277" s="452"/>
      <c r="M277" s="429"/>
      <c r="N277" s="449"/>
      <c r="O277" s="449"/>
      <c r="P277" s="449"/>
      <c r="Q277" s="449"/>
      <c r="R277" s="449"/>
      <c r="S277" s="449"/>
      <c r="T277" s="449"/>
      <c r="U277" s="449"/>
    </row>
    <row r="278" spans="2:21" ht="15">
      <c r="B278" s="438"/>
      <c r="C278" s="439"/>
      <c r="D278" s="430" t="s">
        <v>7</v>
      </c>
      <c r="E278" s="464"/>
      <c r="F278" s="464"/>
      <c r="G278" s="454"/>
      <c r="H278" s="454"/>
      <c r="I278" s="454"/>
      <c r="J278" s="454"/>
      <c r="K278" s="449"/>
      <c r="L278" s="454"/>
      <c r="M278" s="449"/>
      <c r="N278" s="449"/>
      <c r="O278" s="449"/>
      <c r="P278" s="449"/>
      <c r="Q278" s="449"/>
      <c r="R278" s="449"/>
      <c r="S278" s="449"/>
      <c r="T278" s="449"/>
      <c r="U278" s="449"/>
    </row>
    <row r="279" spans="2:21" ht="15">
      <c r="B279" s="424"/>
      <c r="D279" s="475"/>
      <c r="E279" s="449"/>
      <c r="F279" s="449"/>
      <c r="G279" s="454"/>
      <c r="H279" s="454"/>
      <c r="I279" s="454"/>
      <c r="J279" s="454"/>
      <c r="K279" s="449"/>
      <c r="L279" s="454"/>
      <c r="M279" s="449"/>
      <c r="N279" s="449"/>
      <c r="O279" s="449"/>
      <c r="P279" s="449"/>
      <c r="Q279" s="449"/>
      <c r="R279" s="449"/>
      <c r="S279" s="449"/>
      <c r="T279" s="449"/>
      <c r="U279" s="449"/>
    </row>
    <row r="280" spans="2:21" ht="3.75" customHeight="1">
      <c r="B280" s="424"/>
      <c r="D280" s="475"/>
      <c r="E280" s="449"/>
      <c r="F280" s="449"/>
      <c r="G280" s="454"/>
      <c r="H280" s="454"/>
      <c r="I280" s="454"/>
      <c r="J280" s="454"/>
      <c r="K280" s="449"/>
      <c r="L280" s="454"/>
      <c r="M280" s="449"/>
      <c r="N280" s="449"/>
      <c r="O280" s="449"/>
      <c r="P280" s="449"/>
      <c r="Q280" s="449"/>
      <c r="R280" s="449"/>
      <c r="S280" s="449"/>
      <c r="T280" s="449"/>
      <c r="U280" s="449"/>
    </row>
    <row r="281" spans="2:21" ht="15">
      <c r="B281" s="644" t="s">
        <v>180</v>
      </c>
      <c r="C281" s="446"/>
      <c r="D281" s="475" t="s">
        <v>606</v>
      </c>
      <c r="E281" s="449"/>
      <c r="F281" s="449"/>
      <c r="G281" s="454"/>
      <c r="H281" s="454"/>
      <c r="I281" s="454"/>
      <c r="J281" s="454"/>
      <c r="K281" s="449"/>
      <c r="L281" s="454"/>
      <c r="M281" s="449"/>
      <c r="N281" s="449"/>
      <c r="O281" s="449"/>
      <c r="P281" s="449"/>
      <c r="Q281" s="449"/>
      <c r="R281" s="449"/>
      <c r="S281" s="449"/>
      <c r="T281" s="449"/>
      <c r="U281" s="449"/>
    </row>
    <row r="282" spans="2:21" ht="15">
      <c r="B282" s="644"/>
      <c r="C282" s="546"/>
      <c r="D282" s="475" t="s">
        <v>466</v>
      </c>
      <c r="E282" s="449"/>
      <c r="F282" s="449"/>
      <c r="G282" s="449"/>
      <c r="H282" s="449"/>
      <c r="I282" s="449"/>
      <c r="J282" s="449"/>
      <c r="K282" s="449"/>
      <c r="L282" s="449"/>
      <c r="M282" s="449"/>
      <c r="N282" s="449"/>
      <c r="O282" s="449"/>
      <c r="P282" s="449"/>
      <c r="Q282" s="449"/>
      <c r="R282" s="449"/>
      <c r="S282" s="449"/>
      <c r="T282" s="449"/>
      <c r="U282" s="449"/>
    </row>
    <row r="283" spans="2:21" ht="15">
      <c r="B283" s="645"/>
      <c r="C283" s="429"/>
      <c r="D283" s="424" t="s">
        <v>467</v>
      </c>
      <c r="E283" s="646"/>
      <c r="F283" s="646"/>
      <c r="G283" s="449"/>
      <c r="H283" s="449"/>
      <c r="I283" s="449"/>
      <c r="J283" s="449"/>
      <c r="K283" s="449"/>
      <c r="L283" s="449"/>
      <c r="M283" s="449"/>
      <c r="N283" s="449"/>
      <c r="O283" s="449"/>
      <c r="P283" s="449"/>
      <c r="Q283" s="449"/>
      <c r="R283" s="449"/>
      <c r="S283" s="449"/>
      <c r="T283" s="449"/>
      <c r="U283" s="449"/>
    </row>
    <row r="284" spans="2:21" ht="15">
      <c r="B284" s="645"/>
      <c r="C284" s="429"/>
      <c r="D284" s="475" t="s">
        <v>607</v>
      </c>
      <c r="E284" s="449"/>
      <c r="F284" s="449"/>
      <c r="G284" s="449"/>
      <c r="H284" s="449"/>
      <c r="I284" s="449"/>
      <c r="J284" s="449"/>
      <c r="K284" s="449"/>
      <c r="L284" s="449"/>
      <c r="M284" s="449"/>
      <c r="N284" s="449"/>
      <c r="O284" s="449"/>
      <c r="P284" s="449"/>
      <c r="Q284" s="449"/>
      <c r="R284" s="449"/>
      <c r="S284" s="449"/>
      <c r="T284" s="449"/>
      <c r="U284" s="449"/>
    </row>
    <row r="285" spans="2:21" ht="15">
      <c r="B285" s="463"/>
      <c r="C285" s="464"/>
      <c r="D285" s="475" t="s">
        <v>608</v>
      </c>
      <c r="E285" s="449"/>
      <c r="F285" s="449"/>
      <c r="G285" s="449"/>
      <c r="H285" s="449"/>
      <c r="I285" s="449"/>
      <c r="J285" s="449"/>
      <c r="K285" s="449"/>
      <c r="L285" s="449"/>
      <c r="M285" s="449"/>
      <c r="N285" s="449"/>
      <c r="O285" s="449"/>
      <c r="P285" s="449"/>
      <c r="Q285" s="449"/>
      <c r="R285" s="449"/>
      <c r="S285" s="449"/>
      <c r="T285" s="449"/>
      <c r="U285" s="449"/>
    </row>
    <row r="286" spans="2:21" ht="15">
      <c r="B286" s="463"/>
      <c r="C286" s="464"/>
      <c r="D286" s="475" t="s">
        <v>468</v>
      </c>
      <c r="E286" s="449"/>
      <c r="F286" s="449"/>
      <c r="G286" s="449"/>
      <c r="H286" s="449"/>
      <c r="I286" s="449"/>
      <c r="J286" s="449"/>
      <c r="K286" s="449"/>
      <c r="L286" s="449"/>
      <c r="M286" s="449"/>
      <c r="N286" s="449"/>
      <c r="O286" s="449"/>
      <c r="P286" s="449"/>
      <c r="Q286" s="449"/>
      <c r="R286" s="449"/>
      <c r="S286" s="449"/>
      <c r="T286" s="449"/>
      <c r="U286" s="449"/>
    </row>
    <row r="287" spans="2:21" ht="15">
      <c r="B287" s="463"/>
      <c r="C287" s="464"/>
      <c r="D287" s="475" t="s">
        <v>469</v>
      </c>
      <c r="E287" s="449"/>
      <c r="F287" s="449"/>
      <c r="G287" s="449"/>
      <c r="H287" s="449"/>
      <c r="I287" s="449"/>
      <c r="J287" s="449"/>
      <c r="K287" s="449"/>
      <c r="L287" s="449"/>
      <c r="M287" s="449"/>
      <c r="N287" s="449"/>
      <c r="O287" s="449"/>
      <c r="P287" s="449"/>
      <c r="Q287" s="449"/>
      <c r="R287" s="449"/>
      <c r="S287" s="449"/>
      <c r="T287" s="449"/>
      <c r="U287" s="449"/>
    </row>
    <row r="288" spans="2:21" ht="45" customHeight="1">
      <c r="B288" s="463"/>
      <c r="C288" s="464"/>
      <c r="D288" s="1174" t="s">
        <v>745</v>
      </c>
      <c r="E288" s="1174"/>
      <c r="F288" s="1174"/>
      <c r="G288" s="1174"/>
      <c r="H288" s="1174"/>
      <c r="I288" s="1174"/>
      <c r="J288" s="1174"/>
      <c r="K288" s="1174"/>
      <c r="L288" s="1174"/>
      <c r="M288" s="449"/>
      <c r="N288" s="449"/>
      <c r="O288" s="449"/>
      <c r="P288" s="449"/>
      <c r="Q288" s="449"/>
      <c r="R288" s="449"/>
      <c r="S288" s="449"/>
      <c r="T288" s="449"/>
      <c r="U288" s="449"/>
    </row>
    <row r="289" spans="2:21" ht="15">
      <c r="B289" s="463"/>
      <c r="C289" s="464"/>
      <c r="D289" s="475" t="s">
        <v>623</v>
      </c>
      <c r="E289" s="449"/>
      <c r="F289" s="449"/>
      <c r="G289" s="449"/>
      <c r="H289" s="449"/>
      <c r="I289" s="449"/>
      <c r="J289" s="449"/>
      <c r="K289" s="449"/>
      <c r="L289" s="449"/>
      <c r="M289" s="449"/>
      <c r="N289" s="449"/>
      <c r="O289" s="449"/>
      <c r="P289" s="449"/>
      <c r="Q289" s="449"/>
      <c r="R289" s="449"/>
      <c r="S289" s="449"/>
      <c r="T289" s="449"/>
      <c r="U289" s="449"/>
    </row>
    <row r="290" spans="2:21" ht="15">
      <c r="B290" s="463"/>
      <c r="C290" s="464"/>
      <c r="D290" s="647"/>
      <c r="E290" s="449"/>
      <c r="F290" s="449"/>
      <c r="G290" s="449"/>
      <c r="H290" s="449"/>
      <c r="I290" s="449"/>
      <c r="J290" s="449"/>
      <c r="K290" s="449"/>
      <c r="L290" s="475"/>
      <c r="M290" s="449"/>
      <c r="N290" s="449"/>
      <c r="O290" s="449"/>
      <c r="P290" s="449"/>
      <c r="Q290" s="449"/>
      <c r="R290" s="449"/>
      <c r="S290" s="449"/>
      <c r="T290" s="449"/>
      <c r="U290" s="449"/>
    </row>
    <row r="291" spans="2:21" ht="15" customHeight="1">
      <c r="B291" s="463" t="s">
        <v>181</v>
      </c>
      <c r="C291" s="464"/>
      <c r="D291" s="1190" t="s">
        <v>767</v>
      </c>
      <c r="E291" s="1191"/>
      <c r="F291" s="1191"/>
      <c r="G291" s="1191"/>
      <c r="H291" s="1191"/>
      <c r="I291" s="1191"/>
      <c r="J291" s="1191"/>
      <c r="K291" s="1191"/>
      <c r="L291" s="475"/>
      <c r="M291" s="449"/>
      <c r="N291" s="449"/>
      <c r="O291" s="449"/>
      <c r="P291" s="449"/>
      <c r="Q291" s="449"/>
      <c r="R291" s="449"/>
      <c r="S291" s="449"/>
      <c r="T291" s="449"/>
      <c r="U291" s="449"/>
    </row>
    <row r="292" spans="2:21" ht="15">
      <c r="B292" s="463"/>
      <c r="C292" s="464"/>
      <c r="D292" s="1191"/>
      <c r="E292" s="1191"/>
      <c r="F292" s="1191"/>
      <c r="G292" s="1191"/>
      <c r="H292" s="1191"/>
      <c r="I292" s="1191"/>
      <c r="J292" s="1191"/>
      <c r="K292" s="1191"/>
      <c r="L292" s="475"/>
      <c r="M292" s="449"/>
      <c r="N292" s="449"/>
      <c r="O292" s="449"/>
      <c r="P292" s="449"/>
      <c r="Q292" s="449"/>
      <c r="R292" s="449"/>
      <c r="S292" s="449"/>
      <c r="T292" s="449"/>
      <c r="U292" s="449"/>
    </row>
    <row r="293" spans="5:21" ht="15">
      <c r="E293" s="449"/>
      <c r="F293" s="449"/>
      <c r="G293" s="449"/>
      <c r="H293" s="449"/>
      <c r="I293" s="449"/>
      <c r="J293" s="449"/>
      <c r="K293" s="449"/>
      <c r="L293" s="449"/>
      <c r="M293" s="449"/>
      <c r="N293" s="449"/>
      <c r="O293" s="449"/>
      <c r="P293" s="449"/>
      <c r="Q293" s="449"/>
      <c r="R293" s="449"/>
      <c r="S293" s="449"/>
      <c r="T293" s="449"/>
      <c r="U293" s="449"/>
    </row>
    <row r="294" spans="2:21" ht="15">
      <c r="B294" s="463" t="s">
        <v>182</v>
      </c>
      <c r="C294" s="464"/>
      <c r="D294" s="648" t="s">
        <v>746</v>
      </c>
      <c r="E294" s="449"/>
      <c r="F294" s="449"/>
      <c r="G294" s="449"/>
      <c r="H294" s="449"/>
      <c r="I294" s="449"/>
      <c r="J294" s="449"/>
      <c r="K294" s="449"/>
      <c r="L294" s="449"/>
      <c r="M294" s="449"/>
      <c r="N294" s="449"/>
      <c r="O294" s="449"/>
      <c r="P294" s="449"/>
      <c r="Q294" s="449"/>
      <c r="R294" s="449"/>
      <c r="S294" s="449"/>
      <c r="T294" s="449"/>
      <c r="U294" s="449"/>
    </row>
    <row r="295" spans="2:21" ht="15">
      <c r="B295" s="463"/>
      <c r="C295" s="464"/>
      <c r="D295" s="648"/>
      <c r="E295" s="449"/>
      <c r="F295" s="449"/>
      <c r="G295" s="449"/>
      <c r="H295" s="449"/>
      <c r="I295" s="449"/>
      <c r="J295" s="449"/>
      <c r="K295" s="449"/>
      <c r="L295" s="449"/>
      <c r="M295" s="449"/>
      <c r="N295" s="449"/>
      <c r="O295" s="449"/>
      <c r="P295" s="449"/>
      <c r="Q295" s="449"/>
      <c r="R295" s="449"/>
      <c r="S295" s="449"/>
      <c r="T295" s="449"/>
      <c r="U295" s="449"/>
    </row>
    <row r="296" spans="2:21" ht="15">
      <c r="B296" s="463" t="s">
        <v>183</v>
      </c>
      <c r="C296" s="464"/>
      <c r="D296" s="1174" t="s">
        <v>748</v>
      </c>
      <c r="E296" s="1174"/>
      <c r="F296" s="1174"/>
      <c r="G296" s="1174"/>
      <c r="H296" s="1174"/>
      <c r="I296" s="1174"/>
      <c r="J296" s="1174"/>
      <c r="K296" s="1174"/>
      <c r="L296" s="1174"/>
      <c r="M296" s="449"/>
      <c r="N296" s="449"/>
      <c r="O296" s="449"/>
      <c r="P296" s="475"/>
      <c r="Q296" s="475"/>
      <c r="R296" s="449"/>
      <c r="S296" s="449"/>
      <c r="T296" s="449"/>
      <c r="U296" s="449"/>
    </row>
    <row r="297" spans="2:21" ht="15">
      <c r="B297" s="463"/>
      <c r="C297" s="464"/>
      <c r="D297" s="1174"/>
      <c r="E297" s="1174"/>
      <c r="F297" s="1174"/>
      <c r="G297" s="1174"/>
      <c r="H297" s="1174"/>
      <c r="I297" s="1174"/>
      <c r="J297" s="1174"/>
      <c r="K297" s="1174"/>
      <c r="L297" s="1174"/>
      <c r="M297" s="449"/>
      <c r="N297" s="449"/>
      <c r="O297" s="449"/>
      <c r="P297" s="475"/>
      <c r="Q297" s="475"/>
      <c r="R297" s="449"/>
      <c r="S297" s="449"/>
      <c r="T297" s="449"/>
      <c r="U297" s="449"/>
    </row>
    <row r="298" spans="2:21" ht="15">
      <c r="B298" s="463"/>
      <c r="C298" s="464"/>
      <c r="D298" s="475" t="s">
        <v>749</v>
      </c>
      <c r="E298" s="449"/>
      <c r="F298" s="449"/>
      <c r="G298" s="449"/>
      <c r="H298" s="449"/>
      <c r="I298" s="449"/>
      <c r="J298" s="449"/>
      <c r="K298" s="449"/>
      <c r="L298" s="600"/>
      <c r="M298" s="449"/>
      <c r="N298" s="449"/>
      <c r="O298" s="449"/>
      <c r="P298" s="475"/>
      <c r="Q298" s="475"/>
      <c r="R298" s="449"/>
      <c r="S298" s="449"/>
      <c r="T298" s="449"/>
      <c r="U298" s="449"/>
    </row>
    <row r="299" spans="2:21" ht="15">
      <c r="B299" s="463"/>
      <c r="C299" s="464"/>
      <c r="D299" s="475" t="s">
        <v>750</v>
      </c>
      <c r="E299" s="449"/>
      <c r="F299" s="449"/>
      <c r="G299" s="449"/>
      <c r="H299" s="449"/>
      <c r="I299" s="449"/>
      <c r="J299" s="449"/>
      <c r="K299" s="449"/>
      <c r="L299" s="600"/>
      <c r="M299" s="449"/>
      <c r="N299" s="449"/>
      <c r="O299" s="449"/>
      <c r="P299" s="475"/>
      <c r="Q299" s="449"/>
      <c r="R299" s="449"/>
      <c r="S299" s="449"/>
      <c r="T299" s="449"/>
      <c r="U299" s="449"/>
    </row>
    <row r="300" spans="2:21" ht="30" customHeight="1">
      <c r="B300" s="463"/>
      <c r="C300" s="464"/>
      <c r="D300" s="1174" t="s">
        <v>747</v>
      </c>
      <c r="E300" s="1174"/>
      <c r="F300" s="1174"/>
      <c r="G300" s="1174"/>
      <c r="H300" s="1174"/>
      <c r="I300" s="1174"/>
      <c r="J300" s="1174"/>
      <c r="K300" s="1174"/>
      <c r="L300" s="1174"/>
      <c r="M300" s="449"/>
      <c r="N300" s="449"/>
      <c r="O300" s="449"/>
      <c r="P300" s="475"/>
      <c r="Q300" s="449"/>
      <c r="R300" s="449"/>
      <c r="S300" s="449"/>
      <c r="T300" s="449"/>
      <c r="U300" s="449"/>
    </row>
    <row r="301" spans="2:21" ht="21.75" customHeight="1">
      <c r="B301" s="463" t="s">
        <v>184</v>
      </c>
      <c r="C301" s="475"/>
      <c r="D301" s="475"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649"/>
      <c r="F301" s="649"/>
      <c r="G301" s="649"/>
      <c r="H301" s="649"/>
      <c r="I301" s="649"/>
      <c r="J301" s="649"/>
      <c r="K301" s="649"/>
      <c r="L301" s="649"/>
      <c r="M301" s="449"/>
      <c r="N301" s="449"/>
      <c r="O301" s="449"/>
      <c r="P301" s="449"/>
      <c r="Q301" s="449"/>
      <c r="R301" s="449"/>
      <c r="S301" s="449"/>
      <c r="T301" s="449"/>
      <c r="U301" s="449"/>
    </row>
    <row r="302" spans="2:21" ht="15">
      <c r="B302" s="463"/>
      <c r="C302" s="475"/>
      <c r="D302" s="650"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515"/>
      <c r="F302" s="515"/>
      <c r="G302" s="515"/>
      <c r="H302" s="515"/>
      <c r="I302" s="515"/>
      <c r="J302" s="515"/>
      <c r="K302" s="515"/>
      <c r="L302" s="515"/>
      <c r="M302" s="449"/>
      <c r="N302" s="449"/>
      <c r="O302" s="449"/>
      <c r="P302" s="449"/>
      <c r="Q302" s="449"/>
      <c r="R302" s="449"/>
      <c r="S302" s="449"/>
      <c r="T302" s="449"/>
      <c r="U302" s="449"/>
    </row>
    <row r="303" spans="2:21" ht="15">
      <c r="B303" s="463"/>
      <c r="C303" s="475"/>
      <c r="D303" s="651" t="str">
        <f>+"2)  Costs of Transmission of Electricity by Others, as described in Note H."</f>
        <v>2)  Costs of Transmission of Electricity by Others, as described in Note H.</v>
      </c>
      <c r="E303" s="649"/>
      <c r="F303" s="649"/>
      <c r="G303" s="649"/>
      <c r="H303" s="649"/>
      <c r="I303" s="649"/>
      <c r="J303" s="649"/>
      <c r="K303" s="649"/>
      <c r="L303" s="649"/>
      <c r="M303" s="449"/>
      <c r="N303" s="449"/>
      <c r="O303" s="449"/>
      <c r="P303" s="449"/>
      <c r="Q303" s="449"/>
      <c r="R303" s="449"/>
      <c r="S303" s="449"/>
      <c r="T303" s="449"/>
      <c r="U303" s="449"/>
    </row>
    <row r="304" spans="2:21" ht="15">
      <c r="B304" s="463"/>
      <c r="C304" s="475"/>
      <c r="D304" s="650" t="str">
        <f>+"3)  The impact of state regulatory deferrals and amortizations, as shown on line  "&amp;B156&amp;""</f>
        <v>3)  The impact of state regulatory deferrals and amortizations, as shown on line  88</v>
      </c>
      <c r="E304" s="515"/>
      <c r="F304" s="515"/>
      <c r="G304" s="515"/>
      <c r="H304" s="515"/>
      <c r="I304" s="515"/>
      <c r="J304" s="515"/>
      <c r="K304" s="515"/>
      <c r="L304" s="515"/>
      <c r="M304" s="449"/>
      <c r="N304" s="449"/>
      <c r="O304" s="449"/>
      <c r="P304" s="449"/>
      <c r="Q304" s="449"/>
      <c r="R304" s="449"/>
      <c r="S304" s="449"/>
      <c r="T304" s="449"/>
      <c r="U304" s="449"/>
    </row>
    <row r="305" spans="2:21" ht="15">
      <c r="B305" s="463"/>
      <c r="C305" s="515"/>
      <c r="D305" s="651" t="str">
        <f>"4) All A&amp;G Expenses, as shown on line "&amp;B173&amp;"."</f>
        <v>4) All A&amp;G Expenses, as shown on line 104.</v>
      </c>
      <c r="E305" s="649"/>
      <c r="F305" s="649"/>
      <c r="G305" s="649"/>
      <c r="H305" s="649"/>
      <c r="I305" s="649"/>
      <c r="J305" s="649"/>
      <c r="K305" s="649"/>
      <c r="L305" s="649"/>
      <c r="M305" s="449"/>
      <c r="N305" s="449"/>
      <c r="O305" s="449"/>
      <c r="P305" s="449"/>
      <c r="Q305" s="449"/>
      <c r="R305" s="449"/>
      <c r="S305" s="449"/>
      <c r="T305" s="449"/>
      <c r="U305" s="449"/>
    </row>
    <row r="306" spans="2:21" ht="15">
      <c r="B306" s="463"/>
      <c r="C306" s="464"/>
      <c r="D306" s="650"/>
      <c r="E306" s="652"/>
      <c r="F306" s="652"/>
      <c r="G306" s="652"/>
      <c r="H306" s="652"/>
      <c r="I306" s="652"/>
      <c r="J306" s="652"/>
      <c r="K306" s="652"/>
      <c r="L306" s="652"/>
      <c r="M306" s="449"/>
      <c r="N306" s="449"/>
      <c r="O306" s="449"/>
      <c r="P306" s="449"/>
      <c r="Q306" s="449"/>
      <c r="R306" s="449"/>
      <c r="S306" s="449"/>
      <c r="T306" s="449"/>
      <c r="U306" s="449"/>
    </row>
    <row r="307" spans="2:21" ht="15">
      <c r="B307" s="644" t="s">
        <v>185</v>
      </c>
      <c r="C307" s="546"/>
      <c r="D307" s="653"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653"/>
      <c r="F307" s="653"/>
      <c r="G307" s="653"/>
      <c r="H307" s="653"/>
      <c r="I307" s="653"/>
      <c r="J307" s="653"/>
      <c r="K307" s="653"/>
      <c r="L307" s="653"/>
      <c r="M307" s="449"/>
      <c r="N307" s="449"/>
      <c r="O307" s="449"/>
      <c r="P307" s="449"/>
      <c r="Q307" s="449"/>
      <c r="R307" s="449"/>
      <c r="S307" s="449"/>
      <c r="T307" s="449"/>
      <c r="U307" s="449"/>
    </row>
    <row r="308" spans="2:21" ht="15">
      <c r="B308" s="645"/>
      <c r="C308" s="429"/>
      <c r="D308" s="653" t="s">
        <v>284</v>
      </c>
      <c r="E308" s="653"/>
      <c r="F308" s="653"/>
      <c r="G308" s="653"/>
      <c r="H308" s="653"/>
      <c r="I308" s="653"/>
      <c r="J308" s="653"/>
      <c r="K308" s="653"/>
      <c r="L308" s="653"/>
      <c r="M308" s="449"/>
      <c r="N308" s="449"/>
      <c r="O308" s="449"/>
      <c r="P308" s="449"/>
      <c r="Q308" s="449"/>
      <c r="R308" s="449"/>
      <c r="S308" s="449"/>
      <c r="T308" s="449"/>
      <c r="U308" s="449"/>
    </row>
    <row r="309" spans="2:21" ht="15">
      <c r="B309" s="645"/>
      <c r="C309" s="429"/>
      <c r="D309" s="653" t="str">
        <f>"expense is included on line "&amp;B217&amp;"."</f>
        <v>expense is included on line 140.</v>
      </c>
      <c r="E309" s="653"/>
      <c r="F309" s="653"/>
      <c r="G309" s="653"/>
      <c r="H309" s="653"/>
      <c r="I309" s="653"/>
      <c r="J309" s="653"/>
      <c r="K309" s="653"/>
      <c r="L309" s="653"/>
      <c r="M309" s="449"/>
      <c r="N309" s="449"/>
      <c r="O309" s="449"/>
      <c r="P309" s="449"/>
      <c r="Q309" s="449"/>
      <c r="R309" s="449"/>
      <c r="S309" s="449"/>
      <c r="T309" s="449"/>
      <c r="U309" s="449"/>
    </row>
    <row r="310" spans="2:21" ht="15">
      <c r="B310" s="645"/>
      <c r="C310" s="429"/>
      <c r="D310" s="653"/>
      <c r="E310" s="653"/>
      <c r="F310" s="653"/>
      <c r="G310" s="653"/>
      <c r="H310" s="653"/>
      <c r="I310" s="653"/>
      <c r="J310" s="653"/>
      <c r="K310" s="653"/>
      <c r="L310" s="653"/>
      <c r="M310" s="429"/>
      <c r="N310" s="449"/>
      <c r="O310" s="449"/>
      <c r="P310" s="449"/>
      <c r="Q310" s="449"/>
      <c r="R310" s="449"/>
      <c r="S310" s="449"/>
      <c r="T310" s="449"/>
      <c r="U310" s="449"/>
    </row>
    <row r="311" spans="2:21" ht="15">
      <c r="B311" s="644" t="s">
        <v>186</v>
      </c>
      <c r="C311" s="429"/>
      <c r="D311" s="1198"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"&amp;'KP WS F Misc Exp'!A22&amp;" through "&amp;'KP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198"/>
      <c r="F311" s="1198"/>
      <c r="G311" s="1198"/>
      <c r="H311" s="1198"/>
      <c r="I311" s="1198"/>
      <c r="J311" s="1198"/>
      <c r="K311" s="1198"/>
      <c r="L311" s="653"/>
      <c r="M311" s="429"/>
      <c r="N311" s="449"/>
      <c r="O311" s="449"/>
      <c r="P311" s="449"/>
      <c r="Q311" s="449"/>
      <c r="R311" s="449"/>
      <c r="S311" s="449"/>
      <c r="T311" s="449"/>
      <c r="U311" s="449"/>
    </row>
    <row r="312" spans="2:21" ht="15">
      <c r="B312" s="644"/>
      <c r="C312" s="429"/>
      <c r="D312" s="1198"/>
      <c r="E312" s="1198"/>
      <c r="F312" s="1198"/>
      <c r="G312" s="1198"/>
      <c r="H312" s="1198"/>
      <c r="I312" s="1198"/>
      <c r="J312" s="1198"/>
      <c r="K312" s="1198"/>
      <c r="L312" s="653"/>
      <c r="M312" s="429"/>
      <c r="N312" s="449"/>
      <c r="O312" s="449"/>
      <c r="P312" s="449"/>
      <c r="Q312" s="449"/>
      <c r="R312" s="449"/>
      <c r="S312" s="449"/>
      <c r="T312" s="449"/>
      <c r="U312" s="449"/>
    </row>
    <row r="313" spans="2:21" ht="15">
      <c r="B313" s="644"/>
      <c r="C313" s="429"/>
      <c r="D313" s="1198"/>
      <c r="E313" s="1198"/>
      <c r="F313" s="1198"/>
      <c r="G313" s="1198"/>
      <c r="H313" s="1198"/>
      <c r="I313" s="1198"/>
      <c r="J313" s="1198"/>
      <c r="K313" s="1198"/>
      <c r="L313" s="653"/>
      <c r="M313" s="429"/>
      <c r="N313" s="449"/>
      <c r="O313" s="449"/>
      <c r="P313" s="449"/>
      <c r="Q313" s="449"/>
      <c r="R313" s="449"/>
      <c r="S313" s="449"/>
      <c r="T313" s="449"/>
      <c r="U313" s="449"/>
    </row>
    <row r="314" spans="2:21" ht="15">
      <c r="B314" s="644"/>
      <c r="C314" s="429"/>
      <c r="D314" s="650"/>
      <c r="E314" s="653"/>
      <c r="F314" s="653"/>
      <c r="G314" s="653"/>
      <c r="H314" s="653"/>
      <c r="I314" s="653"/>
      <c r="J314" s="653"/>
      <c r="K314" s="653"/>
      <c r="L314" s="653"/>
      <c r="M314" s="429"/>
      <c r="N314" s="449"/>
      <c r="O314" s="449"/>
      <c r="P314" s="449"/>
      <c r="Q314" s="449"/>
      <c r="R314" s="449"/>
      <c r="S314" s="449"/>
      <c r="T314" s="449"/>
      <c r="U314" s="449"/>
    </row>
    <row r="315" spans="2:21" ht="15">
      <c r="B315" s="644" t="s">
        <v>187</v>
      </c>
      <c r="C315" s="429"/>
      <c r="D315" s="1177"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77"/>
      <c r="F315" s="1177"/>
      <c r="G315" s="1177"/>
      <c r="H315" s="1177"/>
      <c r="I315" s="1177"/>
      <c r="J315" s="1177"/>
      <c r="K315" s="1177"/>
      <c r="L315" s="653"/>
      <c r="M315" s="429"/>
      <c r="N315" s="449"/>
      <c r="O315" s="449"/>
      <c r="P315" s="449"/>
      <c r="Q315" s="449"/>
      <c r="R315" s="449"/>
      <c r="S315" s="449"/>
      <c r="T315" s="449"/>
      <c r="U315" s="449"/>
    </row>
    <row r="316" spans="2:21" ht="15">
      <c r="B316" s="644"/>
      <c r="C316" s="429"/>
      <c r="D316" s="1177"/>
      <c r="E316" s="1177"/>
      <c r="F316" s="1177"/>
      <c r="G316" s="1177"/>
      <c r="H316" s="1177"/>
      <c r="I316" s="1177"/>
      <c r="J316" s="1177"/>
      <c r="K316" s="1177"/>
      <c r="L316" s="653"/>
      <c r="M316" s="429"/>
      <c r="N316" s="449"/>
      <c r="O316" s="449"/>
      <c r="P316" s="449"/>
      <c r="Q316" s="449"/>
      <c r="R316" s="449"/>
      <c r="S316" s="449"/>
      <c r="T316" s="449"/>
      <c r="U316" s="449"/>
    </row>
    <row r="317" spans="2:21" ht="15">
      <c r="B317" s="644"/>
      <c r="C317" s="429"/>
      <c r="D317" s="1178"/>
      <c r="E317" s="1178"/>
      <c r="F317" s="1178"/>
      <c r="G317" s="1178"/>
      <c r="H317" s="1178"/>
      <c r="I317" s="1178"/>
      <c r="J317" s="1178"/>
      <c r="K317" s="1178"/>
      <c r="L317" s="653"/>
      <c r="M317" s="429"/>
      <c r="N317" s="449"/>
      <c r="O317" s="449"/>
      <c r="P317" s="449"/>
      <c r="Q317" s="449"/>
      <c r="R317" s="449"/>
      <c r="S317" s="449"/>
      <c r="T317" s="449"/>
      <c r="U317" s="449"/>
    </row>
    <row r="318" spans="2:21" ht="15">
      <c r="B318" s="644"/>
      <c r="C318" s="429"/>
      <c r="D318" s="1194"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194"/>
      <c r="F318" s="1194"/>
      <c r="G318" s="1194"/>
      <c r="H318" s="1194"/>
      <c r="I318" s="1194"/>
      <c r="J318" s="1194"/>
      <c r="K318" s="654"/>
      <c r="L318" s="653"/>
      <c r="M318" s="429"/>
      <c r="N318" s="449"/>
      <c r="O318" s="449"/>
      <c r="P318" s="449"/>
      <c r="Q318" s="449"/>
      <c r="R318" s="449"/>
      <c r="S318" s="449"/>
      <c r="T318" s="449"/>
      <c r="U318" s="449"/>
    </row>
    <row r="319" spans="2:21" ht="15">
      <c r="B319" s="644"/>
      <c r="C319" s="429"/>
      <c r="D319" s="1194"/>
      <c r="E319" s="1194"/>
      <c r="F319" s="1194"/>
      <c r="G319" s="1194"/>
      <c r="H319" s="1194"/>
      <c r="I319" s="1194"/>
      <c r="J319" s="1194"/>
      <c r="K319" s="654"/>
      <c r="L319" s="653"/>
      <c r="M319" s="429"/>
      <c r="N319" s="449"/>
      <c r="O319" s="449"/>
      <c r="P319" s="449"/>
      <c r="Q319" s="449"/>
      <c r="R319" s="449"/>
      <c r="S319" s="449"/>
      <c r="T319" s="449"/>
      <c r="U319" s="449"/>
    </row>
    <row r="320" spans="2:21" ht="15">
      <c r="B320" s="644"/>
      <c r="C320" s="429"/>
      <c r="D320" s="653" t="str">
        <f>"The company records referenced on line "&amp;B177&amp;" is the "&amp;F7&amp;" general ledger."</f>
        <v>The company records referenced on line 107 is the KENTUCKY POWER COMPANY general ledger.</v>
      </c>
      <c r="E320" s="655"/>
      <c r="F320" s="655"/>
      <c r="G320" s="655"/>
      <c r="H320" s="655"/>
      <c r="I320" s="655"/>
      <c r="J320" s="655"/>
      <c r="K320" s="655"/>
      <c r="L320" s="653"/>
      <c r="M320" s="429"/>
      <c r="N320" s="449"/>
      <c r="O320" s="449"/>
      <c r="P320" s="449"/>
      <c r="Q320" s="449"/>
      <c r="R320" s="449"/>
      <c r="S320" s="449"/>
      <c r="T320" s="449"/>
      <c r="U320" s="449"/>
    </row>
    <row r="321" spans="2:21" ht="15">
      <c r="B321" s="644"/>
      <c r="C321" s="429"/>
      <c r="D321" s="653"/>
      <c r="E321" s="655"/>
      <c r="F321" s="655"/>
      <c r="G321" s="655"/>
      <c r="H321" s="655"/>
      <c r="I321" s="655"/>
      <c r="J321" s="655"/>
      <c r="K321" s="655"/>
      <c r="L321" s="653"/>
      <c r="M321" s="429"/>
      <c r="N321" s="449"/>
      <c r="O321" s="449"/>
      <c r="P321" s="449"/>
      <c r="Q321" s="449"/>
      <c r="R321" s="449"/>
      <c r="S321" s="449"/>
      <c r="T321" s="449"/>
      <c r="U321" s="449"/>
    </row>
    <row r="322" spans="2:21" ht="15">
      <c r="B322" s="644" t="s">
        <v>188</v>
      </c>
      <c r="C322" s="429"/>
      <c r="D322" s="429" t="s">
        <v>751</v>
      </c>
      <c r="E322" s="479"/>
      <c r="F322" s="479"/>
      <c r="G322" s="479"/>
      <c r="H322" s="479"/>
      <c r="I322" s="479"/>
      <c r="J322" s="479"/>
      <c r="K322" s="479"/>
      <c r="L322" s="656"/>
      <c r="M322" s="429"/>
      <c r="N322" s="449"/>
      <c r="O322" s="449"/>
      <c r="P322" s="449"/>
      <c r="Q322" s="449"/>
      <c r="R322" s="449"/>
      <c r="S322" s="449"/>
      <c r="T322" s="449"/>
      <c r="U322" s="449"/>
    </row>
    <row r="323" spans="2:21" ht="15">
      <c r="B323" s="644"/>
      <c r="C323" s="429"/>
      <c r="D323" s="656"/>
      <c r="E323" s="656"/>
      <c r="F323" s="656"/>
      <c r="G323" s="656"/>
      <c r="H323" s="656"/>
      <c r="I323" s="656"/>
      <c r="J323" s="656"/>
      <c r="K323" s="656"/>
      <c r="L323" s="656"/>
      <c r="M323" s="429"/>
      <c r="N323" s="449"/>
      <c r="O323" s="449"/>
      <c r="P323" s="449"/>
      <c r="Q323" s="449"/>
      <c r="R323" s="449"/>
      <c r="S323" s="449"/>
      <c r="T323" s="449"/>
      <c r="U323" s="449"/>
    </row>
    <row r="324" spans="2:21" ht="15">
      <c r="B324" s="644" t="s">
        <v>189</v>
      </c>
      <c r="C324" s="429"/>
      <c r="D324" s="1197" t="s">
        <v>74</v>
      </c>
      <c r="E324" s="1191"/>
      <c r="F324" s="1191"/>
      <c r="G324" s="1191"/>
      <c r="H324" s="1191"/>
      <c r="I324" s="1191"/>
      <c r="J324" s="1191"/>
      <c r="K324" s="653"/>
      <c r="L324" s="653"/>
      <c r="M324" s="429"/>
      <c r="N324" s="449"/>
      <c r="O324" s="449"/>
      <c r="P324" s="449"/>
      <c r="Q324" s="449"/>
      <c r="R324" s="449"/>
      <c r="S324" s="449"/>
      <c r="T324" s="449"/>
      <c r="U324" s="449"/>
    </row>
    <row r="325" spans="2:21" ht="15">
      <c r="B325" s="644"/>
      <c r="C325" s="429"/>
      <c r="D325" s="1193"/>
      <c r="E325" s="1193"/>
      <c r="F325" s="1193"/>
      <c r="G325" s="1193"/>
      <c r="H325" s="1193"/>
      <c r="I325" s="1193"/>
      <c r="J325" s="1193"/>
      <c r="K325" s="656"/>
      <c r="L325" s="656"/>
      <c r="M325" s="429"/>
      <c r="N325" s="449"/>
      <c r="O325" s="449"/>
      <c r="P325" s="449"/>
      <c r="Q325" s="449"/>
      <c r="R325" s="449"/>
      <c r="S325" s="449"/>
      <c r="T325" s="449"/>
      <c r="U325" s="449"/>
    </row>
    <row r="326" spans="2:21" ht="15">
      <c r="B326" s="644"/>
      <c r="C326" s="429"/>
      <c r="D326" s="1191"/>
      <c r="E326" s="1191"/>
      <c r="F326" s="1191"/>
      <c r="G326" s="1191"/>
      <c r="H326" s="1191"/>
      <c r="I326" s="1191"/>
      <c r="J326" s="1191"/>
      <c r="K326" s="653"/>
      <c r="L326" s="653"/>
      <c r="M326" s="429"/>
      <c r="N326" s="449"/>
      <c r="O326" s="449"/>
      <c r="P326" s="449"/>
      <c r="Q326" s="449"/>
      <c r="R326" s="449"/>
      <c r="S326" s="449"/>
      <c r="T326" s="449"/>
      <c r="U326" s="449"/>
    </row>
    <row r="327" spans="2:21" ht="15">
      <c r="B327" s="644"/>
      <c r="C327" s="429"/>
      <c r="D327" s="653"/>
      <c r="E327" s="653"/>
      <c r="F327" s="653"/>
      <c r="G327" s="653"/>
      <c r="H327" s="653"/>
      <c r="I327" s="653"/>
      <c r="J327" s="653"/>
      <c r="K327" s="653"/>
      <c r="L327" s="653"/>
      <c r="M327" s="429"/>
      <c r="N327" s="449"/>
      <c r="O327" s="449"/>
      <c r="P327" s="449"/>
      <c r="Q327" s="449"/>
      <c r="R327" s="449"/>
      <c r="S327" s="449"/>
      <c r="T327" s="449"/>
      <c r="U327" s="449"/>
    </row>
    <row r="328" spans="2:21" ht="15">
      <c r="B328" s="463" t="s">
        <v>190</v>
      </c>
      <c r="C328" s="429"/>
      <c r="D328" s="1192"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93"/>
      <c r="F328" s="1193"/>
      <c r="G328" s="1193"/>
      <c r="H328" s="1193"/>
      <c r="I328" s="1193"/>
      <c r="J328" s="1193"/>
      <c r="K328" s="1193"/>
      <c r="L328" s="656"/>
      <c r="M328" s="429"/>
      <c r="N328" s="449"/>
      <c r="O328" s="449"/>
      <c r="P328" s="449"/>
      <c r="Q328" s="449"/>
      <c r="R328" s="449"/>
      <c r="S328" s="449"/>
      <c r="T328" s="449"/>
      <c r="U328" s="449"/>
    </row>
    <row r="329" spans="2:21" ht="15">
      <c r="B329" s="463"/>
      <c r="C329" s="429"/>
      <c r="D329" s="1191"/>
      <c r="E329" s="1191"/>
      <c r="F329" s="1191"/>
      <c r="G329" s="1191"/>
      <c r="H329" s="1191"/>
      <c r="I329" s="1191"/>
      <c r="J329" s="1191"/>
      <c r="K329" s="1191"/>
      <c r="L329" s="653"/>
      <c r="M329" s="429"/>
      <c r="N329" s="449"/>
      <c r="O329" s="449"/>
      <c r="P329" s="449"/>
      <c r="Q329" s="449"/>
      <c r="R329" s="449"/>
      <c r="S329" s="449"/>
      <c r="T329" s="449"/>
      <c r="U329" s="449"/>
    </row>
    <row r="330" spans="2:21" ht="15">
      <c r="B330" s="644"/>
      <c r="C330" s="429"/>
      <c r="D330" s="653"/>
      <c r="E330" s="653"/>
      <c r="F330" s="653"/>
      <c r="G330" s="653"/>
      <c r="H330" s="653"/>
      <c r="I330" s="653"/>
      <c r="J330" s="653"/>
      <c r="K330" s="653"/>
      <c r="L330" s="653"/>
      <c r="M330" s="429"/>
      <c r="N330" s="449"/>
      <c r="O330" s="449"/>
      <c r="P330" s="449"/>
      <c r="Q330" s="449"/>
      <c r="R330" s="449"/>
      <c r="S330" s="449"/>
      <c r="T330" s="449"/>
      <c r="U330" s="449"/>
    </row>
    <row r="331" spans="2:21" ht="15">
      <c r="B331" s="463" t="s">
        <v>191</v>
      </c>
      <c r="C331" s="464"/>
      <c r="D331" s="1174" t="s">
        <v>752</v>
      </c>
      <c r="E331" s="1174"/>
      <c r="F331" s="1174"/>
      <c r="G331" s="1174"/>
      <c r="H331" s="1174"/>
      <c r="I331" s="1174"/>
      <c r="J331" s="1174"/>
      <c r="K331" s="1174"/>
      <c r="L331" s="1174"/>
      <c r="M331" s="429"/>
      <c r="N331" s="449"/>
      <c r="O331" s="449"/>
      <c r="P331" s="449"/>
      <c r="Q331" s="449"/>
      <c r="R331" s="449"/>
      <c r="S331" s="449"/>
      <c r="T331" s="449"/>
      <c r="U331" s="449"/>
    </row>
    <row r="332" spans="2:21" ht="15">
      <c r="B332" s="463"/>
      <c r="C332" s="464"/>
      <c r="D332" s="1174"/>
      <c r="E332" s="1174"/>
      <c r="F332" s="1174"/>
      <c r="G332" s="1174"/>
      <c r="H332" s="1174"/>
      <c r="I332" s="1174"/>
      <c r="J332" s="1174"/>
      <c r="K332" s="1174"/>
      <c r="L332" s="1174"/>
      <c r="M332" s="429"/>
      <c r="N332" s="449"/>
      <c r="O332" s="449"/>
      <c r="P332" s="449"/>
      <c r="Q332" s="449"/>
      <c r="R332" s="449"/>
      <c r="S332" s="449"/>
      <c r="T332" s="449"/>
      <c r="U332" s="449"/>
    </row>
    <row r="333" spans="2:21" ht="15">
      <c r="B333" s="463"/>
      <c r="C333" s="464"/>
      <c r="D333" s="1174"/>
      <c r="E333" s="1174"/>
      <c r="F333" s="1174"/>
      <c r="G333" s="1174"/>
      <c r="H333" s="1174"/>
      <c r="I333" s="1174"/>
      <c r="J333" s="1174"/>
      <c r="K333" s="1174"/>
      <c r="L333" s="1174"/>
      <c r="M333" s="429"/>
      <c r="N333" s="449"/>
      <c r="O333" s="449"/>
      <c r="P333" s="449"/>
      <c r="Q333" s="449"/>
      <c r="R333" s="449"/>
      <c r="S333" s="449"/>
      <c r="T333" s="449"/>
      <c r="U333" s="449"/>
    </row>
    <row r="334" spans="2:21" ht="15">
      <c r="B334" s="463"/>
      <c r="C334" s="464"/>
      <c r="D334" s="1174"/>
      <c r="E334" s="1174"/>
      <c r="F334" s="1174"/>
      <c r="G334" s="1174"/>
      <c r="H334" s="1174"/>
      <c r="I334" s="1174"/>
      <c r="J334" s="1174"/>
      <c r="K334" s="1174"/>
      <c r="L334" s="1174"/>
      <c r="M334" s="429"/>
      <c r="N334" s="449"/>
      <c r="O334" s="449"/>
      <c r="P334" s="449"/>
      <c r="Q334" s="449"/>
      <c r="R334" s="449"/>
      <c r="S334" s="449"/>
      <c r="T334" s="449"/>
      <c r="U334" s="449"/>
    </row>
    <row r="335" spans="2:21" ht="15">
      <c r="B335" s="463"/>
      <c r="C335" s="464"/>
      <c r="D335" s="653"/>
      <c r="E335" s="652"/>
      <c r="F335" s="652"/>
      <c r="G335" s="652"/>
      <c r="H335" s="652"/>
      <c r="I335" s="652"/>
      <c r="J335" s="652"/>
      <c r="K335" s="652"/>
      <c r="L335" s="652"/>
      <c r="M335" s="429"/>
      <c r="N335" s="449"/>
      <c r="O335" s="449"/>
      <c r="P335" s="449"/>
      <c r="Q335" s="449"/>
      <c r="R335" s="449"/>
      <c r="S335" s="449"/>
      <c r="T335" s="449"/>
      <c r="U335" s="449"/>
    </row>
    <row r="336" spans="2:21" ht="15" customHeight="1">
      <c r="B336" s="463" t="s">
        <v>192</v>
      </c>
      <c r="C336" s="464"/>
      <c r="D336" s="1177" t="s">
        <v>764</v>
      </c>
      <c r="E336" s="1195"/>
      <c r="F336" s="1195"/>
      <c r="G336" s="1195"/>
      <c r="H336" s="1195"/>
      <c r="I336" s="1195"/>
      <c r="J336" s="1195"/>
      <c r="K336" s="1195"/>
      <c r="L336" s="1196"/>
      <c r="M336" s="429"/>
      <c r="N336" s="449"/>
      <c r="O336" s="449"/>
      <c r="P336" s="449"/>
      <c r="Q336" s="449"/>
      <c r="R336" s="449"/>
      <c r="S336" s="449"/>
      <c r="T336" s="449"/>
      <c r="U336" s="449"/>
    </row>
    <row r="337" spans="2:21" ht="15">
      <c r="B337" s="463"/>
      <c r="C337" s="464"/>
      <c r="D337" s="1195"/>
      <c r="E337" s="1195"/>
      <c r="F337" s="1195"/>
      <c r="G337" s="1195"/>
      <c r="H337" s="1195"/>
      <c r="I337" s="1195"/>
      <c r="J337" s="1195"/>
      <c r="K337" s="1195"/>
      <c r="L337" s="1196"/>
      <c r="M337" s="429"/>
      <c r="N337" s="449"/>
      <c r="O337" s="449"/>
      <c r="P337" s="449"/>
      <c r="Q337" s="449"/>
      <c r="R337" s="449"/>
      <c r="S337" s="449"/>
      <c r="T337" s="449"/>
      <c r="U337" s="449"/>
    </row>
    <row r="338" spans="2:21" ht="15">
      <c r="B338" s="463"/>
      <c r="C338" s="464"/>
      <c r="D338" s="1196"/>
      <c r="E338" s="1196"/>
      <c r="F338" s="1196"/>
      <c r="G338" s="1196"/>
      <c r="H338" s="1196"/>
      <c r="I338" s="1196"/>
      <c r="J338" s="1196"/>
      <c r="K338" s="1196"/>
      <c r="L338" s="1196"/>
      <c r="M338" s="429"/>
      <c r="N338" s="449"/>
      <c r="O338" s="449"/>
      <c r="P338" s="449"/>
      <c r="Q338" s="449"/>
      <c r="R338" s="449"/>
      <c r="S338" s="449"/>
      <c r="T338" s="449"/>
      <c r="U338" s="449"/>
    </row>
    <row r="339" spans="2:21" ht="15">
      <c r="B339" s="463"/>
      <c r="C339" s="464"/>
      <c r="D339" s="592"/>
      <c r="E339" s="449"/>
      <c r="F339" s="449"/>
      <c r="G339" s="449"/>
      <c r="H339" s="449"/>
      <c r="I339" s="449"/>
      <c r="J339" s="449"/>
      <c r="K339" s="449"/>
      <c r="L339" s="449"/>
      <c r="M339" s="429"/>
      <c r="N339" s="449"/>
      <c r="O339" s="449"/>
      <c r="P339" s="449"/>
      <c r="Q339" s="449"/>
      <c r="R339" s="449"/>
      <c r="S339" s="449"/>
      <c r="T339" s="449"/>
      <c r="U339" s="449"/>
    </row>
    <row r="340" spans="2:21" ht="15">
      <c r="B340" s="545" t="s">
        <v>321</v>
      </c>
      <c r="C340" s="464"/>
      <c r="D340" s="475" t="s">
        <v>450</v>
      </c>
      <c r="E340" s="432"/>
      <c r="F340" s="432"/>
      <c r="G340" s="432"/>
      <c r="H340" s="432"/>
      <c r="I340" s="432"/>
      <c r="J340" s="432"/>
      <c r="K340" s="429"/>
      <c r="L340" s="429"/>
      <c r="M340" s="429"/>
      <c r="N340" s="449"/>
      <c r="O340" s="449"/>
      <c r="P340" s="449"/>
      <c r="Q340" s="449"/>
      <c r="R340" s="449"/>
      <c r="S340" s="449"/>
      <c r="T340" s="449"/>
      <c r="U340" s="449"/>
    </row>
    <row r="341" spans="2:21" ht="15">
      <c r="B341" s="545"/>
      <c r="C341" s="464"/>
      <c r="D341" s="432"/>
      <c r="E341" s="432"/>
      <c r="F341" s="432"/>
      <c r="G341" s="432"/>
      <c r="H341" s="432"/>
      <c r="I341" s="432"/>
      <c r="J341" s="432"/>
      <c r="K341" s="429"/>
      <c r="L341" s="429"/>
      <c r="M341" s="429"/>
      <c r="N341" s="449"/>
      <c r="O341" s="449"/>
      <c r="P341" s="449"/>
      <c r="Q341" s="449"/>
      <c r="R341" s="449"/>
      <c r="S341" s="449"/>
      <c r="T341" s="449"/>
      <c r="U341" s="449"/>
    </row>
    <row r="342" spans="2:21" ht="15">
      <c r="B342" s="463" t="s">
        <v>381</v>
      </c>
      <c r="C342" s="464"/>
      <c r="D342" s="475" t="s">
        <v>425</v>
      </c>
      <c r="E342" s="429"/>
      <c r="F342" s="429"/>
      <c r="G342" s="429"/>
      <c r="H342" s="429"/>
      <c r="I342" s="429"/>
      <c r="J342" s="429"/>
      <c r="K342" s="429"/>
      <c r="L342" s="429"/>
      <c r="M342" s="429"/>
      <c r="N342" s="449"/>
      <c r="O342" s="449"/>
      <c r="P342" s="449"/>
      <c r="Q342" s="449"/>
      <c r="R342" s="449"/>
      <c r="S342" s="449"/>
      <c r="T342" s="449"/>
      <c r="U342" s="449"/>
    </row>
    <row r="343" spans="2:21" ht="15">
      <c r="B343" s="545"/>
      <c r="C343" s="464"/>
      <c r="D343" s="475" t="s">
        <v>308</v>
      </c>
      <c r="E343" s="429"/>
      <c r="F343" s="429"/>
      <c r="G343" s="429"/>
      <c r="H343" s="429"/>
      <c r="I343" s="429"/>
      <c r="J343" s="429"/>
      <c r="K343" s="429"/>
      <c r="L343" s="429"/>
      <c r="M343" s="429"/>
      <c r="N343" s="449"/>
      <c r="O343" s="449"/>
      <c r="P343" s="449"/>
      <c r="Q343" s="449"/>
      <c r="R343" s="449"/>
      <c r="S343" s="449"/>
      <c r="T343" s="449"/>
      <c r="U343" s="449"/>
    </row>
    <row r="344" spans="2:21" ht="15">
      <c r="B344" s="545"/>
      <c r="C344" s="464"/>
      <c r="D344" s="475" t="s">
        <v>309</v>
      </c>
      <c r="E344" s="429"/>
      <c r="F344" s="429"/>
      <c r="G344" s="429"/>
      <c r="H344" s="429"/>
      <c r="I344" s="429"/>
      <c r="J344" s="429"/>
      <c r="K344" s="429"/>
      <c r="L344" s="429"/>
      <c r="M344" s="429"/>
      <c r="N344" s="449"/>
      <c r="O344" s="449"/>
      <c r="P344" s="449"/>
      <c r="Q344" s="449"/>
      <c r="R344" s="449"/>
      <c r="S344" s="449"/>
      <c r="T344" s="449"/>
      <c r="U344" s="449"/>
    </row>
    <row r="345" spans="2:21" ht="15">
      <c r="B345" s="545"/>
      <c r="C345" s="464"/>
      <c r="D345" s="475" t="s">
        <v>310</v>
      </c>
      <c r="E345" s="429"/>
      <c r="F345" s="429"/>
      <c r="G345" s="429"/>
      <c r="H345" s="429"/>
      <c r="I345" s="429"/>
      <c r="J345" s="429"/>
      <c r="K345" s="429"/>
      <c r="L345" s="429"/>
      <c r="M345" s="429"/>
      <c r="N345" s="449"/>
      <c r="O345" s="449"/>
      <c r="P345" s="449"/>
      <c r="Q345" s="449"/>
      <c r="R345" s="449"/>
      <c r="S345" s="449"/>
      <c r="T345" s="449"/>
      <c r="U345" s="449"/>
    </row>
    <row r="346" spans="2:21" ht="15">
      <c r="B346" s="463"/>
      <c r="C346" s="464"/>
      <c r="D346" s="475" t="str">
        <f>"(ln "&amp;B204&amp;") multiplied by (1/1-T) .  If the applicable tax rates are zero enter 0."</f>
        <v>(ln 131) multiplied by (1/1-T) .  If the applicable tax rates are zero enter 0.</v>
      </c>
      <c r="H346" s="429"/>
      <c r="I346" s="429"/>
      <c r="J346" s="429"/>
      <c r="K346" s="429"/>
      <c r="L346" s="429"/>
      <c r="M346" s="429"/>
      <c r="N346" s="449"/>
      <c r="O346" s="449"/>
      <c r="P346" s="449"/>
      <c r="Q346" s="449"/>
      <c r="R346" s="449"/>
      <c r="S346" s="449"/>
      <c r="T346" s="449"/>
      <c r="U346" s="449"/>
    </row>
    <row r="347" spans="2:21" ht="15">
      <c r="B347" s="657"/>
      <c r="C347" s="449"/>
      <c r="D347" s="475" t="s">
        <v>426</v>
      </c>
      <c r="E347" s="449" t="s">
        <v>427</v>
      </c>
      <c r="F347" s="1059">
        <v>0.35</v>
      </c>
      <c r="G347" s="449"/>
      <c r="H347" s="429"/>
      <c r="I347" s="429"/>
      <c r="J347" s="429"/>
      <c r="K347" s="429"/>
      <c r="L347" s="429"/>
      <c r="M347" s="429"/>
      <c r="N347" s="449"/>
      <c r="O347" s="449"/>
      <c r="P347" s="449"/>
      <c r="Q347" s="449"/>
      <c r="R347" s="449"/>
      <c r="S347" s="449"/>
      <c r="T347" s="449"/>
      <c r="U347" s="449"/>
    </row>
    <row r="348" spans="2:21" ht="15">
      <c r="B348" s="657"/>
      <c r="C348" s="449"/>
      <c r="D348" s="475"/>
      <c r="E348" s="449" t="s">
        <v>428</v>
      </c>
      <c r="F348" s="646">
        <f>+'KP WS G  State Tax Rate'!F29</f>
        <v>0.0588</v>
      </c>
      <c r="G348" s="449" t="s">
        <v>647</v>
      </c>
      <c r="H348" s="429"/>
      <c r="I348" s="429"/>
      <c r="J348" s="429"/>
      <c r="K348" s="429"/>
      <c r="L348" s="429"/>
      <c r="M348" s="429"/>
      <c r="N348" s="449"/>
      <c r="O348" s="449"/>
      <c r="P348" s="449"/>
      <c r="Q348" s="449"/>
      <c r="R348" s="449"/>
      <c r="S348" s="449"/>
      <c r="T348" s="449"/>
      <c r="U348" s="449"/>
    </row>
    <row r="349" spans="2:21" ht="15">
      <c r="B349" s="657"/>
      <c r="C349" s="449"/>
      <c r="D349" s="475"/>
      <c r="E349" s="449" t="s">
        <v>429</v>
      </c>
      <c r="F349" s="1059">
        <v>0</v>
      </c>
      <c r="G349" s="449" t="s">
        <v>430</v>
      </c>
      <c r="H349" s="429"/>
      <c r="I349" s="429"/>
      <c r="J349" s="429"/>
      <c r="K349" s="429"/>
      <c r="L349" s="429"/>
      <c r="M349" s="429"/>
      <c r="N349" s="449"/>
      <c r="O349" s="449"/>
      <c r="P349" s="449"/>
      <c r="Q349" s="449"/>
      <c r="R349" s="449"/>
      <c r="S349" s="449"/>
      <c r="T349" s="449"/>
      <c r="U349" s="449"/>
    </row>
    <row r="350" spans="2:21" ht="15">
      <c r="B350" s="545"/>
      <c r="C350" s="464"/>
      <c r="D350" s="475" t="s">
        <v>765</v>
      </c>
      <c r="E350" s="429"/>
      <c r="F350" s="429"/>
      <c r="G350" s="429"/>
      <c r="H350" s="429"/>
      <c r="I350" s="429"/>
      <c r="J350" s="429"/>
      <c r="K350" s="429"/>
      <c r="L350" s="429"/>
      <c r="M350" s="449"/>
      <c r="N350" s="449"/>
      <c r="O350" s="449"/>
      <c r="P350" s="449"/>
      <c r="Q350" s="449"/>
      <c r="R350" s="449"/>
      <c r="S350" s="449"/>
      <c r="T350" s="449"/>
      <c r="U350" s="449"/>
    </row>
    <row r="351" spans="2:21" ht="15">
      <c r="B351" s="545"/>
      <c r="C351" s="464"/>
      <c r="D351" s="475" t="s">
        <v>766</v>
      </c>
      <c r="E351" s="429"/>
      <c r="F351" s="429"/>
      <c r="G351" s="429"/>
      <c r="H351" s="429"/>
      <c r="I351" s="429"/>
      <c r="J351" s="429"/>
      <c r="K351" s="429"/>
      <c r="L351" s="429"/>
      <c r="M351" s="449"/>
      <c r="N351" s="449"/>
      <c r="O351" s="449"/>
      <c r="P351" s="449"/>
      <c r="Q351" s="449"/>
      <c r="R351" s="449"/>
      <c r="S351" s="449"/>
      <c r="T351" s="449"/>
      <c r="U351" s="449"/>
    </row>
    <row r="352" spans="2:21" ht="15">
      <c r="B352" s="463" t="s">
        <v>431</v>
      </c>
      <c r="C352" s="464"/>
      <c r="D352" s="475" t="s">
        <v>290</v>
      </c>
      <c r="E352" s="429"/>
      <c r="F352" s="429"/>
      <c r="G352" s="429"/>
      <c r="H352" s="429"/>
      <c r="I352" s="429"/>
      <c r="J352" s="429"/>
      <c r="K352" s="429"/>
      <c r="L352" s="429"/>
      <c r="M352" s="429"/>
      <c r="N352" s="449"/>
      <c r="O352" s="449"/>
      <c r="P352" s="449"/>
      <c r="Q352" s="449"/>
      <c r="R352" s="449"/>
      <c r="S352" s="449"/>
      <c r="T352" s="449"/>
      <c r="U352" s="449"/>
    </row>
    <row r="353" spans="2:21" ht="15">
      <c r="B353" s="424"/>
      <c r="D353" s="475"/>
      <c r="E353" s="429"/>
      <c r="F353" s="429"/>
      <c r="G353" s="429"/>
      <c r="H353" s="429"/>
      <c r="I353" s="429"/>
      <c r="J353" s="429"/>
      <c r="K353" s="429"/>
      <c r="L353" s="429"/>
      <c r="M353" s="429"/>
      <c r="N353" s="449"/>
      <c r="O353" s="449"/>
      <c r="P353" s="449"/>
      <c r="Q353" s="449"/>
      <c r="R353" s="449"/>
      <c r="S353" s="449"/>
      <c r="T353" s="449"/>
      <c r="U353" s="449"/>
    </row>
    <row r="354" spans="2:21" ht="15">
      <c r="B354" s="463" t="s">
        <v>432</v>
      </c>
      <c r="C354" s="464"/>
      <c r="D354" s="475" t="s">
        <v>40</v>
      </c>
      <c r="E354" s="429"/>
      <c r="F354" s="429"/>
      <c r="G354" s="429"/>
      <c r="H354" s="429"/>
      <c r="I354" s="429"/>
      <c r="J354" s="429"/>
      <c r="K354" s="429"/>
      <c r="L354" s="429"/>
      <c r="M354" s="429"/>
      <c r="N354" s="449"/>
      <c r="O354" s="449"/>
      <c r="P354" s="449"/>
      <c r="Q354" s="449"/>
      <c r="R354" s="449"/>
      <c r="S354" s="449"/>
      <c r="T354" s="449"/>
      <c r="U354" s="449"/>
    </row>
    <row r="355" spans="2:21" ht="15">
      <c r="B355" s="463"/>
      <c r="C355" s="464"/>
      <c r="D355" s="475"/>
      <c r="E355" s="449"/>
      <c r="F355" s="449"/>
      <c r="G355" s="449"/>
      <c r="H355" s="449"/>
      <c r="I355" s="449"/>
      <c r="J355" s="449"/>
      <c r="K355" s="449"/>
      <c r="L355" s="449"/>
      <c r="M355" s="449"/>
      <c r="N355" s="449"/>
      <c r="O355" s="449"/>
      <c r="P355" s="449"/>
      <c r="Q355" s="449"/>
      <c r="R355" s="449"/>
      <c r="S355" s="449"/>
      <c r="T355" s="449"/>
      <c r="U355" s="449"/>
    </row>
    <row r="356" spans="2:21" ht="15">
      <c r="B356" s="463" t="s">
        <v>433</v>
      </c>
      <c r="C356" s="464"/>
      <c r="D356" s="475" t="s">
        <v>514</v>
      </c>
      <c r="E356" s="449"/>
      <c r="F356" s="449"/>
      <c r="G356" s="449"/>
      <c r="H356" s="449"/>
      <c r="I356" s="449"/>
      <c r="J356" s="449"/>
      <c r="K356" s="449"/>
      <c r="L356" s="449"/>
      <c r="M356" s="449"/>
      <c r="N356" s="449"/>
      <c r="O356" s="449"/>
      <c r="P356" s="449"/>
      <c r="Q356" s="449"/>
      <c r="R356" s="449"/>
      <c r="S356" s="449"/>
      <c r="T356" s="449"/>
      <c r="U356" s="449"/>
    </row>
    <row r="357" spans="2:21" ht="15">
      <c r="B357" s="463"/>
      <c r="C357" s="464"/>
      <c r="D357" s="475"/>
      <c r="E357" s="449"/>
      <c r="F357" s="449"/>
      <c r="G357" s="449"/>
      <c r="H357" s="449"/>
      <c r="I357" s="449"/>
      <c r="J357" s="449"/>
      <c r="K357" s="449"/>
      <c r="L357" s="449"/>
      <c r="M357" s="449"/>
      <c r="N357" s="449"/>
      <c r="O357" s="449"/>
      <c r="P357" s="449"/>
      <c r="Q357" s="449"/>
      <c r="R357" s="449"/>
      <c r="S357" s="449"/>
      <c r="T357" s="449"/>
      <c r="U357" s="449"/>
    </row>
    <row r="358" spans="2:21" ht="15">
      <c r="B358" s="644" t="s">
        <v>434</v>
      </c>
      <c r="C358" s="546"/>
      <c r="D358" s="475"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449"/>
      <c r="N358" s="449"/>
      <c r="O358" s="449"/>
      <c r="P358" s="449"/>
      <c r="Q358" s="449"/>
      <c r="R358" s="449"/>
      <c r="S358" s="449"/>
      <c r="T358" s="449"/>
      <c r="U358" s="449"/>
    </row>
    <row r="359" spans="2:21" ht="15">
      <c r="B359" s="645"/>
      <c r="C359" s="429"/>
      <c r="D359" s="475"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449"/>
      <c r="N359" s="449"/>
      <c r="O359" s="449"/>
      <c r="P359" s="449"/>
      <c r="Q359" s="449"/>
      <c r="R359" s="449"/>
      <c r="S359" s="449"/>
      <c r="T359" s="449"/>
      <c r="U359" s="449"/>
    </row>
    <row r="360" spans="2:21" ht="15" customHeight="1">
      <c r="B360" s="645"/>
      <c r="C360" s="429"/>
      <c r="D360" s="1175" t="s">
        <v>753</v>
      </c>
      <c r="E360" s="1175"/>
      <c r="F360" s="1175"/>
      <c r="G360" s="1175"/>
      <c r="H360" s="1175"/>
      <c r="I360" s="1175"/>
      <c r="J360" s="1175"/>
      <c r="K360" s="1175"/>
      <c r="L360" s="1175"/>
      <c r="M360" s="449"/>
      <c r="N360" s="449"/>
      <c r="O360" s="449"/>
      <c r="P360" s="449"/>
      <c r="Q360" s="449"/>
      <c r="R360" s="449"/>
      <c r="S360" s="449"/>
      <c r="T360" s="449"/>
      <c r="U360" s="449"/>
    </row>
    <row r="361" spans="2:21" ht="15">
      <c r="B361" s="645"/>
      <c r="C361" s="429"/>
      <c r="D361" s="1175"/>
      <c r="E361" s="1175"/>
      <c r="F361" s="1175"/>
      <c r="G361" s="1175"/>
      <c r="H361" s="1175"/>
      <c r="I361" s="1175"/>
      <c r="J361" s="1175"/>
      <c r="K361" s="1175"/>
      <c r="L361" s="1175"/>
      <c r="M361" s="449"/>
      <c r="N361" s="449"/>
      <c r="O361" s="449"/>
      <c r="P361" s="449"/>
      <c r="Q361" s="449"/>
      <c r="R361" s="449"/>
      <c r="S361" s="449"/>
      <c r="T361" s="449"/>
      <c r="U361" s="449"/>
    </row>
    <row r="362" spans="2:21" ht="14.25" customHeight="1">
      <c r="B362" s="645"/>
      <c r="C362" s="429"/>
      <c r="D362" s="1175"/>
      <c r="E362" s="1175"/>
      <c r="F362" s="1175"/>
      <c r="G362" s="1175"/>
      <c r="H362" s="1175"/>
      <c r="I362" s="1175"/>
      <c r="J362" s="1175"/>
      <c r="K362" s="1175"/>
      <c r="L362" s="1175"/>
      <c r="M362" s="449"/>
      <c r="N362" s="449"/>
      <c r="O362" s="449"/>
      <c r="P362" s="449"/>
      <c r="Q362" s="449"/>
      <c r="R362" s="449"/>
      <c r="S362" s="449"/>
      <c r="T362" s="449"/>
      <c r="U362" s="449"/>
    </row>
    <row r="363" spans="2:21" ht="15" customHeight="1" hidden="1">
      <c r="B363" s="645"/>
      <c r="C363" s="429"/>
      <c r="D363" s="1175"/>
      <c r="E363" s="1175"/>
      <c r="F363" s="1175"/>
      <c r="G363" s="1175"/>
      <c r="H363" s="1175"/>
      <c r="I363" s="1175"/>
      <c r="J363" s="1175"/>
      <c r="K363" s="1175"/>
      <c r="L363" s="1175"/>
      <c r="M363" s="449"/>
      <c r="N363" s="449"/>
      <c r="O363" s="449"/>
      <c r="P363" s="449"/>
      <c r="Q363" s="449"/>
      <c r="R363" s="449"/>
      <c r="S363" s="449"/>
      <c r="T363" s="449"/>
      <c r="U363" s="449"/>
    </row>
    <row r="364" spans="2:21" ht="15" customHeight="1" hidden="1">
      <c r="B364" s="645"/>
      <c r="C364" s="429"/>
      <c r="D364" s="1175"/>
      <c r="E364" s="1175"/>
      <c r="F364" s="1175"/>
      <c r="G364" s="1175"/>
      <c r="H364" s="1175"/>
      <c r="I364" s="1175"/>
      <c r="J364" s="1175"/>
      <c r="K364" s="1175"/>
      <c r="L364" s="1175"/>
      <c r="M364" s="449"/>
      <c r="N364" s="449"/>
      <c r="O364" s="449"/>
      <c r="P364" s="449"/>
      <c r="Q364" s="449"/>
      <c r="R364" s="449"/>
      <c r="S364" s="449"/>
      <c r="T364" s="449"/>
      <c r="U364" s="449"/>
    </row>
    <row r="365" spans="2:21" ht="15" customHeight="1" hidden="1">
      <c r="B365" s="645"/>
      <c r="C365" s="429"/>
      <c r="D365" s="1175"/>
      <c r="E365" s="1175"/>
      <c r="F365" s="1175"/>
      <c r="G365" s="1175"/>
      <c r="H365" s="1175"/>
      <c r="I365" s="1175"/>
      <c r="J365" s="1175"/>
      <c r="K365" s="1175"/>
      <c r="L365" s="1175"/>
      <c r="M365" s="449"/>
      <c r="N365" s="449"/>
      <c r="O365" s="449"/>
      <c r="P365" s="449"/>
      <c r="Q365" s="449"/>
      <c r="R365" s="449"/>
      <c r="S365" s="449"/>
      <c r="T365" s="449"/>
      <c r="U365" s="449"/>
    </row>
    <row r="366" spans="2:21" s="429" customFormat="1" ht="15">
      <c r="B366" s="463" t="s">
        <v>526</v>
      </c>
      <c r="C366" s="464"/>
      <c r="D366" s="653" t="s">
        <v>60</v>
      </c>
      <c r="E366" s="653"/>
      <c r="F366" s="653"/>
      <c r="G366" s="653"/>
      <c r="H366" s="653"/>
      <c r="I366" s="653"/>
      <c r="J366" s="653"/>
      <c r="M366" s="449"/>
      <c r="N366" s="449"/>
      <c r="O366" s="449"/>
      <c r="P366" s="449"/>
      <c r="Q366" s="449"/>
      <c r="R366" s="449"/>
      <c r="S366" s="449"/>
      <c r="T366" s="449"/>
      <c r="U366" s="449"/>
    </row>
    <row r="367" spans="2:21" s="429" customFormat="1" ht="15">
      <c r="B367" s="463"/>
      <c r="C367" s="464"/>
      <c r="D367" s="653" t="str">
        <f>"This total balance of $265,249,280 at 12/31/12 is not included in the balance in line "&amp;B265&amp;" above."</f>
        <v>This total balance of $265,249,280 at 12/31/12 is not included in the balance in line 167 above.</v>
      </c>
      <c r="E367" s="653"/>
      <c r="F367" s="653"/>
      <c r="G367" s="653"/>
      <c r="H367" s="653"/>
      <c r="I367" s="653"/>
      <c r="J367" s="653"/>
      <c r="M367" s="449"/>
      <c r="N367" s="449"/>
      <c r="O367" s="449"/>
      <c r="P367" s="449"/>
      <c r="Q367" s="449"/>
      <c r="R367" s="449"/>
      <c r="S367" s="449"/>
      <c r="T367" s="449"/>
      <c r="U367" s="449"/>
    </row>
    <row r="368" spans="2:21" s="429" customFormat="1" ht="15">
      <c r="B368" s="463"/>
      <c r="C368" s="464"/>
      <c r="D368" s="1176" t="s">
        <v>754</v>
      </c>
      <c r="E368" s="1176"/>
      <c r="F368" s="1176"/>
      <c r="G368" s="1176"/>
      <c r="H368" s="1176"/>
      <c r="I368" s="1176"/>
      <c r="J368" s="1176"/>
      <c r="K368" s="1176"/>
      <c r="L368" s="1176"/>
      <c r="M368" s="449"/>
      <c r="N368" s="449"/>
      <c r="O368" s="449"/>
      <c r="P368" s="449"/>
      <c r="Q368" s="449"/>
      <c r="R368" s="449"/>
      <c r="S368" s="449"/>
      <c r="T368" s="449"/>
      <c r="U368" s="449"/>
    </row>
    <row r="369" spans="2:21" s="429" customFormat="1" ht="15">
      <c r="B369" s="463"/>
      <c r="C369" s="464"/>
      <c r="D369" s="1176"/>
      <c r="E369" s="1176"/>
      <c r="F369" s="1176"/>
      <c r="G369" s="1176"/>
      <c r="H369" s="1176"/>
      <c r="I369" s="1176"/>
      <c r="J369" s="1176"/>
      <c r="K369" s="1176"/>
      <c r="L369" s="1176"/>
      <c r="M369" s="449"/>
      <c r="N369" s="449"/>
      <c r="O369" s="449"/>
      <c r="P369" s="449"/>
      <c r="Q369" s="449"/>
      <c r="R369" s="449"/>
      <c r="S369" s="449"/>
      <c r="T369" s="449"/>
      <c r="U369" s="449"/>
    </row>
    <row r="370" spans="2:21" s="429" customFormat="1" ht="15">
      <c r="B370" s="463"/>
      <c r="C370" s="464"/>
      <c r="D370" s="1176"/>
      <c r="E370" s="1176"/>
      <c r="F370" s="1176"/>
      <c r="G370" s="1176"/>
      <c r="H370" s="1176"/>
      <c r="I370" s="1176"/>
      <c r="J370" s="1176"/>
      <c r="K370" s="1176"/>
      <c r="L370" s="1176"/>
      <c r="M370" s="449"/>
      <c r="N370" s="449"/>
      <c r="O370" s="449"/>
      <c r="P370" s="449"/>
      <c r="Q370" s="449"/>
      <c r="R370" s="449"/>
      <c r="S370" s="449"/>
      <c r="T370" s="449"/>
      <c r="U370" s="449"/>
    </row>
    <row r="371" spans="2:21" ht="15">
      <c r="B371" s="463" t="s">
        <v>634</v>
      </c>
      <c r="C371" s="658"/>
      <c r="D371" s="1173" t="s">
        <v>755</v>
      </c>
      <c r="E371" s="1173"/>
      <c r="F371" s="1173"/>
      <c r="G371" s="1173"/>
      <c r="H371" s="1173"/>
      <c r="I371" s="1173"/>
      <c r="J371" s="1173"/>
      <c r="K371" s="1173"/>
      <c r="L371" s="1173"/>
      <c r="M371" s="449"/>
      <c r="N371" s="449"/>
      <c r="O371" s="449"/>
      <c r="P371" s="449"/>
      <c r="Q371" s="449"/>
      <c r="R371" s="449"/>
      <c r="S371" s="449"/>
      <c r="T371" s="449"/>
      <c r="U371" s="449"/>
    </row>
    <row r="372" spans="2:21" ht="15">
      <c r="B372" s="463"/>
      <c r="C372" s="464"/>
      <c r="D372" s="1173"/>
      <c r="E372" s="1173"/>
      <c r="F372" s="1173"/>
      <c r="G372" s="1173"/>
      <c r="H372" s="1173"/>
      <c r="I372" s="1173"/>
      <c r="J372" s="1173"/>
      <c r="K372" s="1173"/>
      <c r="L372" s="1173"/>
      <c r="M372" s="449"/>
      <c r="N372" s="449"/>
      <c r="O372" s="449"/>
      <c r="P372" s="449"/>
      <c r="Q372" s="449"/>
      <c r="R372" s="449"/>
      <c r="S372" s="449"/>
      <c r="T372" s="449"/>
      <c r="U372" s="449"/>
    </row>
    <row r="373" spans="2:21" ht="15">
      <c r="B373" s="463" t="s">
        <v>757</v>
      </c>
      <c r="C373" s="464"/>
      <c r="D373" s="1173" t="s">
        <v>756</v>
      </c>
      <c r="E373" s="1173"/>
      <c r="F373" s="1173"/>
      <c r="G373" s="1173"/>
      <c r="H373" s="1173"/>
      <c r="I373" s="1173"/>
      <c r="J373" s="1173"/>
      <c r="K373" s="1173"/>
      <c r="L373" s="1173"/>
      <c r="M373" s="449"/>
      <c r="N373" s="449"/>
      <c r="O373" s="449"/>
      <c r="P373" s="449"/>
      <c r="Q373" s="449"/>
      <c r="R373" s="449"/>
      <c r="S373" s="449"/>
      <c r="T373" s="449"/>
      <c r="U373" s="449"/>
    </row>
    <row r="374" spans="2:21" ht="15">
      <c r="B374" s="463"/>
      <c r="C374" s="464"/>
      <c r="D374" s="1173"/>
      <c r="E374" s="1173"/>
      <c r="F374" s="1173"/>
      <c r="G374" s="1173"/>
      <c r="H374" s="1173"/>
      <c r="I374" s="1173"/>
      <c r="J374" s="1173"/>
      <c r="K374" s="1173"/>
      <c r="L374" s="1173"/>
      <c r="M374" s="449"/>
      <c r="N374" s="449"/>
      <c r="O374" s="449"/>
      <c r="P374" s="449"/>
      <c r="Q374" s="449"/>
      <c r="R374" s="449"/>
      <c r="S374" s="449"/>
      <c r="T374" s="449"/>
      <c r="U374" s="449"/>
    </row>
    <row r="375" spans="2:21" ht="15">
      <c r="B375" s="463" t="s">
        <v>759</v>
      </c>
      <c r="C375" s="464"/>
      <c r="D375" s="1199" t="s">
        <v>760</v>
      </c>
      <c r="E375" s="1199"/>
      <c r="F375" s="1199"/>
      <c r="G375" s="1199"/>
      <c r="H375" s="1199"/>
      <c r="I375" s="1199"/>
      <c r="J375" s="1199"/>
      <c r="K375" s="1199"/>
      <c r="L375" s="1199"/>
      <c r="M375" s="449"/>
      <c r="N375" s="449"/>
      <c r="O375" s="449"/>
      <c r="P375" s="449"/>
      <c r="Q375" s="449"/>
      <c r="R375" s="449"/>
      <c r="S375" s="449"/>
      <c r="T375" s="449"/>
      <c r="U375" s="449"/>
    </row>
    <row r="376" spans="2:21" ht="15">
      <c r="B376" s="463" t="s">
        <v>758</v>
      </c>
      <c r="C376" s="464"/>
      <c r="D376" s="1173" t="s">
        <v>761</v>
      </c>
      <c r="E376" s="1173"/>
      <c r="F376" s="1173"/>
      <c r="G376" s="1173"/>
      <c r="H376" s="1173"/>
      <c r="I376" s="1173"/>
      <c r="J376" s="1173"/>
      <c r="K376" s="1173"/>
      <c r="L376" s="1173"/>
      <c r="M376" s="449"/>
      <c r="N376" s="449"/>
      <c r="O376" s="449"/>
      <c r="P376" s="449"/>
      <c r="Q376" s="449"/>
      <c r="R376" s="449"/>
      <c r="S376" s="449"/>
      <c r="T376" s="449"/>
      <c r="U376" s="449"/>
    </row>
    <row r="377" spans="2:21" ht="15">
      <c r="B377" s="463"/>
      <c r="C377" s="464"/>
      <c r="D377" s="1173"/>
      <c r="E377" s="1173"/>
      <c r="F377" s="1173"/>
      <c r="G377" s="1173"/>
      <c r="H377" s="1173"/>
      <c r="I377" s="1173"/>
      <c r="J377" s="1173"/>
      <c r="K377" s="1173"/>
      <c r="L377" s="1173"/>
      <c r="M377" s="449"/>
      <c r="N377" s="449"/>
      <c r="O377" s="449"/>
      <c r="P377" s="449"/>
      <c r="Q377" s="449"/>
      <c r="R377" s="449"/>
      <c r="S377" s="449"/>
      <c r="T377" s="449"/>
      <c r="U377" s="449"/>
    </row>
    <row r="378" spans="2:21" ht="15">
      <c r="B378" s="441"/>
      <c r="C378" s="441"/>
      <c r="D378" s="1173"/>
      <c r="E378" s="1173"/>
      <c r="F378" s="1173"/>
      <c r="G378" s="1173"/>
      <c r="H378" s="1173"/>
      <c r="I378" s="1173"/>
      <c r="J378" s="1173"/>
      <c r="K378" s="1173"/>
      <c r="L378" s="1173"/>
      <c r="M378" s="449"/>
      <c r="N378" s="449"/>
      <c r="O378" s="449"/>
      <c r="P378" s="449"/>
      <c r="Q378" s="449"/>
      <c r="R378" s="449"/>
      <c r="S378" s="449"/>
      <c r="T378" s="449"/>
      <c r="U378" s="449"/>
    </row>
    <row r="379" spans="2:21" ht="15">
      <c r="B379" s="441"/>
      <c r="C379" s="441"/>
      <c r="D379" s="441"/>
      <c r="E379" s="441"/>
      <c r="F379" s="441"/>
      <c r="G379" s="441"/>
      <c r="H379" s="441"/>
      <c r="M379" s="449"/>
      <c r="N379" s="449"/>
      <c r="O379" s="449"/>
      <c r="P379" s="449"/>
      <c r="Q379" s="449"/>
      <c r="R379" s="449"/>
      <c r="S379" s="449"/>
      <c r="T379" s="449"/>
      <c r="U379" s="449"/>
    </row>
    <row r="380" spans="2:21" ht="15">
      <c r="B380" s="441"/>
      <c r="C380" s="441"/>
      <c r="D380" s="441"/>
      <c r="E380" s="441"/>
      <c r="F380" s="441"/>
      <c r="G380" s="441"/>
      <c r="H380" s="441"/>
      <c r="M380" s="449"/>
      <c r="N380" s="449"/>
      <c r="O380" s="449"/>
      <c r="P380" s="449"/>
      <c r="Q380" s="449"/>
      <c r="R380" s="449"/>
      <c r="S380" s="449"/>
      <c r="T380" s="449"/>
      <c r="U380" s="449"/>
    </row>
    <row r="381" spans="2:21" ht="15">
      <c r="B381" s="441"/>
      <c r="C381" s="441"/>
      <c r="D381" s="441"/>
      <c r="E381" s="441"/>
      <c r="F381" s="441"/>
      <c r="G381" s="441"/>
      <c r="H381" s="441"/>
      <c r="M381" s="449"/>
      <c r="N381" s="449"/>
      <c r="O381" s="449"/>
      <c r="P381" s="449"/>
      <c r="Q381" s="449"/>
      <c r="R381" s="449"/>
      <c r="S381" s="449"/>
      <c r="T381" s="449"/>
      <c r="U381" s="449"/>
    </row>
    <row r="382" spans="2:21" ht="15">
      <c r="B382" s="441"/>
      <c r="C382" s="441"/>
      <c r="D382" s="1189"/>
      <c r="E382" s="1189"/>
      <c r="F382" s="1189"/>
      <c r="G382" s="1189"/>
      <c r="H382" s="1189"/>
      <c r="I382" s="1189"/>
      <c r="J382" s="1189"/>
      <c r="M382" s="449"/>
      <c r="N382" s="449"/>
      <c r="O382" s="449"/>
      <c r="P382" s="449"/>
      <c r="Q382" s="449"/>
      <c r="R382" s="449"/>
      <c r="S382" s="449"/>
      <c r="T382" s="449"/>
      <c r="U382" s="449"/>
    </row>
    <row r="383" spans="2:21" ht="15">
      <c r="B383" s="441"/>
      <c r="C383" s="441"/>
      <c r="D383" s="1189"/>
      <c r="E383" s="1189"/>
      <c r="F383" s="1189"/>
      <c r="G383" s="1189"/>
      <c r="H383" s="1189"/>
      <c r="I383" s="1189"/>
      <c r="J383" s="1189"/>
      <c r="M383" s="449"/>
      <c r="N383" s="449"/>
      <c r="O383" s="449"/>
      <c r="P383" s="449"/>
      <c r="Q383" s="449"/>
      <c r="R383" s="449"/>
      <c r="S383" s="449"/>
      <c r="T383" s="449"/>
      <c r="U383" s="449"/>
    </row>
    <row r="384" spans="2:21" ht="15">
      <c r="B384" s="441"/>
      <c r="C384" s="441"/>
      <c r="D384" s="441"/>
      <c r="E384" s="441"/>
      <c r="F384" s="441"/>
      <c r="G384" s="441"/>
      <c r="H384" s="441"/>
      <c r="M384" s="449"/>
      <c r="N384" s="449"/>
      <c r="O384" s="449"/>
      <c r="P384" s="449"/>
      <c r="Q384" s="449"/>
      <c r="R384" s="449"/>
      <c r="S384" s="449"/>
      <c r="T384" s="449"/>
      <c r="U384" s="449"/>
    </row>
    <row r="385" spans="2:21" ht="15">
      <c r="B385" s="441"/>
      <c r="C385" s="441"/>
      <c r="D385" s="441"/>
      <c r="E385" s="441"/>
      <c r="F385" s="441"/>
      <c r="G385" s="441"/>
      <c r="H385" s="441"/>
      <c r="M385" s="449"/>
      <c r="N385" s="449"/>
      <c r="O385" s="449"/>
      <c r="P385" s="449"/>
      <c r="Q385" s="449"/>
      <c r="R385" s="449"/>
      <c r="S385" s="449"/>
      <c r="T385" s="449"/>
      <c r="U385" s="449"/>
    </row>
    <row r="386" spans="2:21" ht="15">
      <c r="B386" s="441"/>
      <c r="C386" s="441"/>
      <c r="D386" s="441"/>
      <c r="E386" s="441"/>
      <c r="F386" s="441"/>
      <c r="G386" s="441"/>
      <c r="H386" s="441"/>
      <c r="M386" s="449"/>
      <c r="N386" s="449"/>
      <c r="O386" s="449"/>
      <c r="P386" s="449"/>
      <c r="Q386" s="449"/>
      <c r="R386" s="449"/>
      <c r="S386" s="449"/>
      <c r="T386" s="449"/>
      <c r="U386" s="449"/>
    </row>
    <row r="387" spans="2:21" ht="15">
      <c r="B387" s="441"/>
      <c r="C387" s="441"/>
      <c r="D387" s="441"/>
      <c r="E387" s="441"/>
      <c r="F387" s="441"/>
      <c r="G387" s="441"/>
      <c r="H387" s="441"/>
      <c r="M387" s="449"/>
      <c r="N387" s="449"/>
      <c r="O387" s="449"/>
      <c r="P387" s="449"/>
      <c r="Q387" s="449"/>
      <c r="R387" s="449"/>
      <c r="S387" s="449"/>
      <c r="T387" s="449"/>
      <c r="U387" s="449"/>
    </row>
    <row r="388" spans="2:21" ht="15">
      <c r="B388" s="441"/>
      <c r="C388" s="441"/>
      <c r="D388" s="441"/>
      <c r="E388" s="441"/>
      <c r="F388" s="441"/>
      <c r="G388" s="441"/>
      <c r="H388" s="441"/>
      <c r="M388" s="449"/>
      <c r="N388" s="449"/>
      <c r="O388" s="449"/>
      <c r="P388" s="449"/>
      <c r="Q388" s="449"/>
      <c r="R388" s="449"/>
      <c r="S388" s="449"/>
      <c r="T388" s="449"/>
      <c r="U388" s="449"/>
    </row>
    <row r="389" spans="2:21" ht="15">
      <c r="B389" s="463"/>
      <c r="C389" s="464"/>
      <c r="M389" s="449"/>
      <c r="N389" s="449"/>
      <c r="O389" s="449"/>
      <c r="P389" s="449"/>
      <c r="Q389" s="449"/>
      <c r="R389" s="449"/>
      <c r="S389" s="449"/>
      <c r="T389" s="449"/>
      <c r="U389" s="449"/>
    </row>
    <row r="390" spans="2:21" ht="15">
      <c r="B390" s="424"/>
      <c r="M390" s="449"/>
      <c r="N390" s="449"/>
      <c r="O390" s="449"/>
      <c r="P390" s="449"/>
      <c r="Q390" s="449"/>
      <c r="R390" s="449"/>
      <c r="S390" s="449"/>
      <c r="T390" s="449"/>
      <c r="U390" s="449"/>
    </row>
    <row r="391" spans="2:21" ht="15">
      <c r="B391" s="424"/>
      <c r="M391" s="449"/>
      <c r="N391" s="449"/>
      <c r="O391" s="449"/>
      <c r="P391" s="449"/>
      <c r="Q391" s="449"/>
      <c r="R391" s="449"/>
      <c r="S391" s="449"/>
      <c r="T391" s="449"/>
      <c r="U391" s="449"/>
    </row>
    <row r="392" spans="2:21" ht="15">
      <c r="B392" s="424"/>
      <c r="M392" s="449"/>
      <c r="N392" s="449"/>
      <c r="O392" s="449"/>
      <c r="P392" s="449"/>
      <c r="Q392" s="449"/>
      <c r="R392" s="449"/>
      <c r="S392" s="449"/>
      <c r="T392" s="449"/>
      <c r="U392" s="449"/>
    </row>
    <row r="393" spans="2:21" ht="15">
      <c r="B393" s="424"/>
      <c r="H393" s="449"/>
      <c r="I393" s="449"/>
      <c r="J393" s="449"/>
      <c r="K393" s="449"/>
      <c r="L393" s="449"/>
      <c r="M393" s="449"/>
      <c r="N393" s="449"/>
      <c r="O393" s="449"/>
      <c r="P393" s="449"/>
      <c r="Q393" s="449"/>
      <c r="R393" s="449"/>
      <c r="S393" s="449"/>
      <c r="T393" s="449"/>
      <c r="U393" s="449"/>
    </row>
    <row r="394" spans="2:21" ht="15">
      <c r="B394" s="424"/>
      <c r="H394" s="449"/>
      <c r="K394" s="449"/>
      <c r="L394" s="449"/>
      <c r="M394" s="449"/>
      <c r="N394" s="449"/>
      <c r="O394" s="449"/>
      <c r="P394" s="449"/>
      <c r="Q394" s="449"/>
      <c r="R394" s="449"/>
      <c r="S394" s="449"/>
      <c r="T394" s="449"/>
      <c r="U394" s="449"/>
    </row>
    <row r="395" spans="2:21" ht="15">
      <c r="B395" s="424"/>
      <c r="H395" s="449"/>
      <c r="I395" s="449" t="s">
        <v>146</v>
      </c>
      <c r="J395" s="660"/>
      <c r="K395" s="449"/>
      <c r="L395" s="449"/>
      <c r="M395" s="449"/>
      <c r="N395" s="449"/>
      <c r="O395" s="449"/>
      <c r="P395" s="449"/>
      <c r="Q395" s="449"/>
      <c r="R395" s="449"/>
      <c r="S395" s="449"/>
      <c r="T395" s="449"/>
      <c r="U395" s="449"/>
    </row>
    <row r="396" spans="2:21" ht="15">
      <c r="B396" s="424"/>
      <c r="H396" s="449"/>
      <c r="I396" s="464" t="s">
        <v>146</v>
      </c>
      <c r="J396" s="660" t="s">
        <v>146</v>
      </c>
      <c r="K396" s="449"/>
      <c r="L396" s="449"/>
      <c r="M396" s="449"/>
      <c r="N396" s="449"/>
      <c r="O396" s="449"/>
      <c r="P396" s="449"/>
      <c r="Q396" s="449"/>
      <c r="R396" s="449"/>
      <c r="S396" s="449"/>
      <c r="T396" s="449"/>
      <c r="U396" s="449"/>
    </row>
    <row r="397" spans="2:21" ht="15">
      <c r="B397" s="424"/>
      <c r="H397" s="449"/>
      <c r="I397" s="464" t="s">
        <v>146</v>
      </c>
      <c r="J397" s="660" t="s">
        <v>146</v>
      </c>
      <c r="K397" s="449"/>
      <c r="L397" s="449"/>
      <c r="M397" s="449"/>
      <c r="N397" s="449"/>
      <c r="O397" s="449"/>
      <c r="P397" s="449"/>
      <c r="Q397" s="449"/>
      <c r="R397" s="449"/>
      <c r="S397" s="449"/>
      <c r="T397" s="449"/>
      <c r="U397" s="449"/>
    </row>
    <row r="398" spans="2:21" ht="15">
      <c r="B398" s="424"/>
      <c r="H398" s="449"/>
      <c r="I398" s="464" t="s">
        <v>146</v>
      </c>
      <c r="J398" s="660" t="s">
        <v>146</v>
      </c>
      <c r="K398" s="449"/>
      <c r="L398" s="449"/>
      <c r="M398" s="449"/>
      <c r="N398" s="449"/>
      <c r="O398" s="449"/>
      <c r="P398" s="449"/>
      <c r="Q398" s="449"/>
      <c r="R398" s="449"/>
      <c r="S398" s="449"/>
      <c r="T398" s="449"/>
      <c r="U398" s="449"/>
    </row>
    <row r="399" spans="2:21" ht="15">
      <c r="B399" s="657"/>
      <c r="C399" s="449"/>
      <c r="D399" s="449"/>
      <c r="E399" s="449"/>
      <c r="F399" s="449"/>
      <c r="G399" s="449"/>
      <c r="H399" s="449"/>
      <c r="I399" s="464" t="s">
        <v>146</v>
      </c>
      <c r="J399" s="661" t="s">
        <v>146</v>
      </c>
      <c r="K399" s="449"/>
      <c r="L399" s="449"/>
      <c r="M399" s="449"/>
      <c r="N399" s="449"/>
      <c r="O399" s="449"/>
      <c r="P399" s="449"/>
      <c r="Q399" s="449"/>
      <c r="R399" s="449"/>
      <c r="S399" s="449"/>
      <c r="T399" s="449"/>
      <c r="U399" s="449"/>
    </row>
    <row r="400" spans="2:21" ht="15">
      <c r="B400" s="657"/>
      <c r="C400" s="449"/>
      <c r="D400" s="449"/>
      <c r="E400" s="449"/>
      <c r="F400" s="449"/>
      <c r="G400" s="449"/>
      <c r="H400" s="449"/>
      <c r="I400" s="464" t="s">
        <v>146</v>
      </c>
      <c r="J400" s="660" t="s">
        <v>146</v>
      </c>
      <c r="K400" s="449"/>
      <c r="L400" s="449"/>
      <c r="M400" s="449"/>
      <c r="N400" s="449"/>
      <c r="O400" s="449"/>
      <c r="P400" s="449"/>
      <c r="Q400" s="449"/>
      <c r="R400" s="449"/>
      <c r="S400" s="449"/>
      <c r="T400" s="449"/>
      <c r="U400" s="449"/>
    </row>
    <row r="401" spans="2:21" ht="15">
      <c r="B401" s="657"/>
      <c r="C401" s="449"/>
      <c r="D401" s="449"/>
      <c r="E401" s="449"/>
      <c r="F401" s="449"/>
      <c r="G401" s="449"/>
      <c r="H401" s="449"/>
      <c r="I401" s="464" t="s">
        <v>146</v>
      </c>
      <c r="J401" s="660" t="s">
        <v>146</v>
      </c>
      <c r="K401" s="449"/>
      <c r="L401" s="449"/>
      <c r="M401" s="449"/>
      <c r="N401" s="449"/>
      <c r="O401" s="449"/>
      <c r="P401" s="449"/>
      <c r="Q401" s="449"/>
      <c r="R401" s="449"/>
      <c r="S401" s="449"/>
      <c r="T401" s="449"/>
      <c r="U401" s="449"/>
    </row>
    <row r="402" spans="2:13" ht="15">
      <c r="B402" s="645"/>
      <c r="C402" s="429"/>
      <c r="D402" s="429"/>
      <c r="E402" s="429"/>
      <c r="F402" s="429"/>
      <c r="G402" s="429"/>
      <c r="H402" s="429"/>
      <c r="I402" s="464" t="s">
        <v>146</v>
      </c>
      <c r="J402" s="660" t="s">
        <v>146</v>
      </c>
      <c r="K402" s="429"/>
      <c r="L402" s="429"/>
      <c r="M402" s="429"/>
    </row>
    <row r="403" spans="2:13" ht="15">
      <c r="B403" s="645"/>
      <c r="C403" s="429"/>
      <c r="D403" s="429"/>
      <c r="E403" s="429"/>
      <c r="F403" s="429"/>
      <c r="G403" s="429"/>
      <c r="H403" s="429"/>
      <c r="I403" s="464" t="s">
        <v>146</v>
      </c>
      <c r="J403" s="660" t="s">
        <v>146</v>
      </c>
      <c r="K403" s="429"/>
      <c r="L403" s="429"/>
      <c r="M403" s="429"/>
    </row>
    <row r="404" spans="2:13" ht="15">
      <c r="B404" s="645"/>
      <c r="C404" s="429"/>
      <c r="D404" s="429"/>
      <c r="E404" s="429"/>
      <c r="F404" s="429"/>
      <c r="G404" s="429"/>
      <c r="H404" s="429"/>
      <c r="I404" s="429"/>
      <c r="J404" s="429"/>
      <c r="K404" s="429"/>
      <c r="L404" s="429"/>
      <c r="M404" s="429"/>
    </row>
    <row r="405" spans="2:13" ht="15">
      <c r="B405" s="645"/>
      <c r="C405" s="429"/>
      <c r="D405" s="429"/>
      <c r="E405" s="429"/>
      <c r="F405" s="429"/>
      <c r="G405" s="429"/>
      <c r="H405" s="429"/>
      <c r="I405" s="429"/>
      <c r="J405" s="429"/>
      <c r="K405" s="429"/>
      <c r="L405" s="429"/>
      <c r="M405" s="429"/>
    </row>
    <row r="406" spans="2:13" ht="15">
      <c r="B406" s="645"/>
      <c r="C406" s="429"/>
      <c r="D406" s="429"/>
      <c r="E406" s="429"/>
      <c r="F406" s="429"/>
      <c r="G406" s="429"/>
      <c r="H406" s="429"/>
      <c r="I406" s="429"/>
      <c r="J406" s="429"/>
      <c r="K406" s="429"/>
      <c r="L406" s="429"/>
      <c r="M406" s="429"/>
    </row>
    <row r="407" spans="2:13" ht="15">
      <c r="B407" s="645"/>
      <c r="C407" s="429"/>
      <c r="D407" s="429"/>
      <c r="E407" s="429"/>
      <c r="F407" s="429"/>
      <c r="G407" s="429"/>
      <c r="H407" s="429"/>
      <c r="I407" s="429"/>
      <c r="J407" s="429"/>
      <c r="K407" s="429"/>
      <c r="L407" s="429"/>
      <c r="M407" s="429"/>
    </row>
    <row r="408" spans="2:13" ht="15">
      <c r="B408" s="645"/>
      <c r="C408" s="429"/>
      <c r="D408" s="429"/>
      <c r="E408" s="429"/>
      <c r="F408" s="429"/>
      <c r="G408" s="429"/>
      <c r="H408" s="429"/>
      <c r="I408" s="429"/>
      <c r="J408" s="429"/>
      <c r="K408" s="429"/>
      <c r="L408" s="429"/>
      <c r="M408" s="429"/>
    </row>
    <row r="409" spans="2:13" ht="15">
      <c r="B409" s="645"/>
      <c r="C409" s="429"/>
      <c r="D409" s="429"/>
      <c r="E409" s="429"/>
      <c r="F409" s="429"/>
      <c r="G409" s="429"/>
      <c r="H409" s="429"/>
      <c r="I409" s="429"/>
      <c r="J409" s="429"/>
      <c r="K409" s="429"/>
      <c r="L409" s="429"/>
      <c r="M409" s="429"/>
    </row>
    <row r="410" spans="2:13" ht="15">
      <c r="B410" s="645"/>
      <c r="C410" s="429"/>
      <c r="D410" s="429"/>
      <c r="E410" s="429"/>
      <c r="F410" s="429"/>
      <c r="G410" s="429"/>
      <c r="H410" s="429"/>
      <c r="I410" s="429"/>
      <c r="J410" s="429"/>
      <c r="K410" s="429"/>
      <c r="L410" s="429"/>
      <c r="M410" s="429"/>
    </row>
    <row r="411" spans="2:13" ht="15">
      <c r="B411" s="645"/>
      <c r="C411" s="429"/>
      <c r="D411" s="429"/>
      <c r="E411" s="429"/>
      <c r="F411" s="429"/>
      <c r="G411" s="429"/>
      <c r="H411" s="429"/>
      <c r="I411" s="429"/>
      <c r="J411" s="429"/>
      <c r="K411" s="429"/>
      <c r="L411" s="429"/>
      <c r="M411" s="429"/>
    </row>
    <row r="412" spans="2:13" ht="15">
      <c r="B412" s="645"/>
      <c r="C412" s="429"/>
      <c r="D412" s="429"/>
      <c r="E412" s="429"/>
      <c r="F412" s="429"/>
      <c r="G412" s="429"/>
      <c r="H412" s="429"/>
      <c r="I412" s="429"/>
      <c r="J412" s="429"/>
      <c r="K412" s="429"/>
      <c r="L412" s="429"/>
      <c r="M412" s="429"/>
    </row>
    <row r="413" spans="2:13" ht="15">
      <c r="B413" s="645"/>
      <c r="C413" s="429"/>
      <c r="D413" s="429"/>
      <c r="E413" s="429"/>
      <c r="F413" s="429"/>
      <c r="G413" s="429"/>
      <c r="H413" s="429"/>
      <c r="I413" s="429"/>
      <c r="J413" s="429"/>
      <c r="K413" s="429"/>
      <c r="L413" s="429"/>
      <c r="M413" s="429"/>
    </row>
    <row r="414" spans="2:13" ht="15">
      <c r="B414" s="645"/>
      <c r="C414" s="429"/>
      <c r="D414" s="429"/>
      <c r="E414" s="429"/>
      <c r="F414" s="429"/>
      <c r="G414" s="429"/>
      <c r="H414" s="429"/>
      <c r="I414" s="429"/>
      <c r="J414" s="429"/>
      <c r="K414" s="429"/>
      <c r="L414" s="429"/>
      <c r="M414" s="429"/>
    </row>
    <row r="415" spans="2:13" ht="15">
      <c r="B415" s="645"/>
      <c r="C415" s="429"/>
      <c r="D415" s="429"/>
      <c r="E415" s="429"/>
      <c r="F415" s="429"/>
      <c r="G415" s="429"/>
      <c r="H415" s="429"/>
      <c r="I415" s="429"/>
      <c r="J415" s="429"/>
      <c r="K415" s="429"/>
      <c r="L415" s="429"/>
      <c r="M415" s="429"/>
    </row>
    <row r="416" spans="2:13" ht="15">
      <c r="B416" s="645"/>
      <c r="C416" s="429"/>
      <c r="D416" s="429"/>
      <c r="E416" s="429"/>
      <c r="F416" s="429"/>
      <c r="G416" s="429"/>
      <c r="H416" s="429"/>
      <c r="I416" s="429"/>
      <c r="J416" s="429"/>
      <c r="K416" s="429"/>
      <c r="L416" s="429"/>
      <c r="M416" s="429"/>
    </row>
    <row r="417" spans="2:13" ht="15">
      <c r="B417" s="645"/>
      <c r="C417" s="429"/>
      <c r="D417" s="429"/>
      <c r="E417" s="429"/>
      <c r="F417" s="429"/>
      <c r="G417" s="429"/>
      <c r="H417" s="429"/>
      <c r="I417" s="429"/>
      <c r="J417" s="429"/>
      <c r="K417" s="429"/>
      <c r="L417" s="429"/>
      <c r="M417" s="429"/>
    </row>
    <row r="418" spans="2:13" ht="15">
      <c r="B418" s="645"/>
      <c r="C418" s="429"/>
      <c r="D418" s="429"/>
      <c r="E418" s="429"/>
      <c r="F418" s="429"/>
      <c r="G418" s="429"/>
      <c r="H418" s="429"/>
      <c r="I418" s="429"/>
      <c r="J418" s="429"/>
      <c r="K418" s="429"/>
      <c r="L418" s="429"/>
      <c r="M418" s="429"/>
    </row>
    <row r="419" spans="2:13" ht="15">
      <c r="B419" s="645"/>
      <c r="C419" s="429"/>
      <c r="D419" s="429"/>
      <c r="E419" s="429"/>
      <c r="F419" s="429"/>
      <c r="G419" s="429"/>
      <c r="H419" s="429"/>
      <c r="I419" s="429"/>
      <c r="J419" s="429"/>
      <c r="K419" s="429"/>
      <c r="L419" s="429"/>
      <c r="M419" s="429"/>
    </row>
    <row r="420" spans="2:13" ht="15">
      <c r="B420" s="645"/>
      <c r="C420" s="429"/>
      <c r="D420" s="429"/>
      <c r="E420" s="429"/>
      <c r="F420" s="429"/>
      <c r="G420" s="429"/>
      <c r="H420" s="429"/>
      <c r="I420" s="429"/>
      <c r="J420" s="429"/>
      <c r="K420" s="429"/>
      <c r="L420" s="429"/>
      <c r="M420" s="429"/>
    </row>
    <row r="421" spans="2:13" ht="15">
      <c r="B421" s="645"/>
      <c r="C421" s="429"/>
      <c r="D421" s="429"/>
      <c r="E421" s="429"/>
      <c r="F421" s="429"/>
      <c r="G421" s="429"/>
      <c r="H421" s="429"/>
      <c r="I421" s="429"/>
      <c r="J421" s="429"/>
      <c r="K421" s="429"/>
      <c r="L421" s="429"/>
      <c r="M421" s="429"/>
    </row>
    <row r="422" spans="2:13" ht="15">
      <c r="B422" s="645"/>
      <c r="C422" s="429"/>
      <c r="D422" s="429"/>
      <c r="E422" s="429"/>
      <c r="F422" s="429"/>
      <c r="G422" s="429"/>
      <c r="H422" s="429"/>
      <c r="I422" s="429"/>
      <c r="J422" s="429"/>
      <c r="K422" s="429"/>
      <c r="L422" s="429"/>
      <c r="M422" s="429"/>
    </row>
    <row r="423" spans="2:13" ht="15">
      <c r="B423" s="645"/>
      <c r="C423" s="429"/>
      <c r="D423" s="429"/>
      <c r="E423" s="429"/>
      <c r="F423" s="429"/>
      <c r="G423" s="429"/>
      <c r="H423" s="429"/>
      <c r="I423" s="429"/>
      <c r="J423" s="429"/>
      <c r="K423" s="429"/>
      <c r="L423" s="429"/>
      <c r="M423" s="429"/>
    </row>
    <row r="424" spans="2:13" ht="15">
      <c r="B424" s="645"/>
      <c r="C424" s="429"/>
      <c r="D424" s="429"/>
      <c r="E424" s="429"/>
      <c r="F424" s="429"/>
      <c r="G424" s="429"/>
      <c r="H424" s="429"/>
      <c r="I424" s="429"/>
      <c r="J424" s="429"/>
      <c r="K424" s="429"/>
      <c r="L424" s="429"/>
      <c r="M424" s="429"/>
    </row>
    <row r="425" spans="2:13" ht="15">
      <c r="B425" s="645"/>
      <c r="C425" s="429"/>
      <c r="D425" s="429"/>
      <c r="E425" s="429"/>
      <c r="F425" s="429"/>
      <c r="G425" s="429"/>
      <c r="H425" s="429"/>
      <c r="I425" s="429"/>
      <c r="J425" s="429"/>
      <c r="K425" s="429"/>
      <c r="L425" s="429"/>
      <c r="M425" s="429"/>
    </row>
    <row r="426" spans="2:13" ht="15">
      <c r="B426" s="645"/>
      <c r="C426" s="429"/>
      <c r="D426" s="429"/>
      <c r="E426" s="429"/>
      <c r="F426" s="429"/>
      <c r="G426" s="429"/>
      <c r="H426" s="429"/>
      <c r="I426" s="429"/>
      <c r="J426" s="429"/>
      <c r="K426" s="429"/>
      <c r="L426" s="429"/>
      <c r="M426" s="429"/>
    </row>
    <row r="427" spans="2:13" ht="15">
      <c r="B427" s="645"/>
      <c r="C427" s="429"/>
      <c r="D427" s="429"/>
      <c r="E427" s="429"/>
      <c r="F427" s="429"/>
      <c r="G427" s="429"/>
      <c r="H427" s="429"/>
      <c r="I427" s="429"/>
      <c r="J427" s="429"/>
      <c r="K427" s="429"/>
      <c r="L427" s="429"/>
      <c r="M427" s="429"/>
    </row>
    <row r="428" spans="2:13" ht="15">
      <c r="B428" s="645"/>
      <c r="C428" s="429"/>
      <c r="D428" s="429"/>
      <c r="E428" s="429"/>
      <c r="F428" s="429"/>
      <c r="G428" s="429"/>
      <c r="H428" s="429"/>
      <c r="I428" s="429"/>
      <c r="J428" s="429"/>
      <c r="K428" s="429"/>
      <c r="L428" s="429"/>
      <c r="M428" s="429"/>
    </row>
    <row r="429" spans="2:13" ht="15">
      <c r="B429" s="645"/>
      <c r="C429" s="429"/>
      <c r="D429" s="429"/>
      <c r="E429" s="429"/>
      <c r="F429" s="429"/>
      <c r="G429" s="429"/>
      <c r="H429" s="429"/>
      <c r="I429" s="429"/>
      <c r="J429" s="429"/>
      <c r="K429" s="429"/>
      <c r="L429" s="429"/>
      <c r="M429" s="429"/>
    </row>
    <row r="430" spans="2:13" ht="15">
      <c r="B430" s="645"/>
      <c r="C430" s="429"/>
      <c r="D430" s="429"/>
      <c r="E430" s="429"/>
      <c r="F430" s="429"/>
      <c r="G430" s="429"/>
      <c r="H430" s="429"/>
      <c r="I430" s="429"/>
      <c r="J430" s="429"/>
      <c r="K430" s="429"/>
      <c r="L430" s="429"/>
      <c r="M430" s="429"/>
    </row>
    <row r="431" spans="2:13" ht="15">
      <c r="B431" s="645"/>
      <c r="C431" s="429"/>
      <c r="D431" s="429"/>
      <c r="E431" s="429"/>
      <c r="F431" s="429"/>
      <c r="G431" s="429"/>
      <c r="H431" s="429"/>
      <c r="I431" s="429"/>
      <c r="J431" s="429"/>
      <c r="K431" s="429"/>
      <c r="L431" s="429"/>
      <c r="M431" s="429"/>
    </row>
    <row r="432" spans="2:13" ht="15">
      <c r="B432" s="645"/>
      <c r="C432" s="429"/>
      <c r="D432" s="429"/>
      <c r="E432" s="429"/>
      <c r="F432" s="429"/>
      <c r="G432" s="429"/>
      <c r="H432" s="429"/>
      <c r="I432" s="429"/>
      <c r="J432" s="429"/>
      <c r="K432" s="429"/>
      <c r="L432" s="429"/>
      <c r="M432" s="429"/>
    </row>
    <row r="433" spans="2:13" ht="15">
      <c r="B433" s="645"/>
      <c r="C433" s="429"/>
      <c r="D433" s="429"/>
      <c r="E433" s="429"/>
      <c r="F433" s="429"/>
      <c r="G433" s="429"/>
      <c r="H433" s="429"/>
      <c r="I433" s="429"/>
      <c r="J433" s="429"/>
      <c r="K433" s="429"/>
      <c r="L433" s="429"/>
      <c r="M433" s="429"/>
    </row>
    <row r="434" spans="2:13" ht="15">
      <c r="B434" s="645"/>
      <c r="C434" s="429"/>
      <c r="D434" s="429"/>
      <c r="E434" s="429"/>
      <c r="F434" s="429"/>
      <c r="G434" s="429"/>
      <c r="H434" s="429"/>
      <c r="I434" s="429"/>
      <c r="J434" s="429"/>
      <c r="K434" s="429"/>
      <c r="L434" s="429"/>
      <c r="M434" s="429"/>
    </row>
    <row r="435" spans="2:13" ht="15">
      <c r="B435" s="645"/>
      <c r="C435" s="429"/>
      <c r="D435" s="429"/>
      <c r="E435" s="429"/>
      <c r="F435" s="429"/>
      <c r="G435" s="429"/>
      <c r="H435" s="429"/>
      <c r="I435" s="429"/>
      <c r="J435" s="429"/>
      <c r="K435" s="429"/>
      <c r="L435" s="429"/>
      <c r="M435" s="429"/>
    </row>
    <row r="436" spans="2:13" ht="15">
      <c r="B436" s="645"/>
      <c r="C436" s="429"/>
      <c r="D436" s="429"/>
      <c r="E436" s="429"/>
      <c r="F436" s="429"/>
      <c r="G436" s="429"/>
      <c r="H436" s="429"/>
      <c r="I436" s="429"/>
      <c r="J436" s="429"/>
      <c r="K436" s="429"/>
      <c r="L436" s="429"/>
      <c r="M436" s="429"/>
    </row>
    <row r="437" spans="2:13" ht="15">
      <c r="B437" s="645"/>
      <c r="C437" s="429"/>
      <c r="D437" s="429"/>
      <c r="E437" s="429"/>
      <c r="F437" s="429"/>
      <c r="G437" s="429"/>
      <c r="H437" s="429"/>
      <c r="I437" s="429"/>
      <c r="J437" s="429"/>
      <c r="K437" s="429"/>
      <c r="L437" s="429"/>
      <c r="M437" s="429"/>
    </row>
    <row r="438" spans="2:13" ht="15">
      <c r="B438" s="645"/>
      <c r="C438" s="429"/>
      <c r="D438" s="429"/>
      <c r="E438" s="429"/>
      <c r="F438" s="429"/>
      <c r="G438" s="429"/>
      <c r="H438" s="429"/>
      <c r="I438" s="429"/>
      <c r="J438" s="429"/>
      <c r="K438" s="429"/>
      <c r="L438" s="429"/>
      <c r="M438" s="429"/>
    </row>
    <row r="439" spans="2:13" ht="15">
      <c r="B439" s="645"/>
      <c r="C439" s="429"/>
      <c r="D439" s="429"/>
      <c r="E439" s="429"/>
      <c r="F439" s="429"/>
      <c r="G439" s="429"/>
      <c r="H439" s="429"/>
      <c r="I439" s="429"/>
      <c r="J439" s="429"/>
      <c r="K439" s="429"/>
      <c r="L439" s="429"/>
      <c r="M439" s="429"/>
    </row>
    <row r="440" spans="2:13" ht="15">
      <c r="B440" s="645"/>
      <c r="C440" s="429"/>
      <c r="D440" s="429"/>
      <c r="E440" s="429"/>
      <c r="F440" s="429"/>
      <c r="G440" s="429"/>
      <c r="H440" s="429"/>
      <c r="I440" s="429"/>
      <c r="J440" s="429"/>
      <c r="K440" s="429"/>
      <c r="L440" s="429"/>
      <c r="M440" s="429"/>
    </row>
    <row r="441" spans="2:13" ht="15">
      <c r="B441" s="645"/>
      <c r="C441" s="429"/>
      <c r="D441" s="429"/>
      <c r="E441" s="429"/>
      <c r="F441" s="429"/>
      <c r="G441" s="429"/>
      <c r="H441" s="429"/>
      <c r="I441" s="429"/>
      <c r="J441" s="429"/>
      <c r="K441" s="429"/>
      <c r="L441" s="429"/>
      <c r="M441" s="429"/>
    </row>
    <row r="442" spans="2:13" ht="15">
      <c r="B442" s="645"/>
      <c r="C442" s="429"/>
      <c r="D442" s="429"/>
      <c r="E442" s="429"/>
      <c r="F442" s="429"/>
      <c r="G442" s="429"/>
      <c r="H442" s="429"/>
      <c r="I442" s="429"/>
      <c r="J442" s="429"/>
      <c r="K442" s="429"/>
      <c r="L442" s="429"/>
      <c r="M442" s="429"/>
    </row>
    <row r="443" spans="2:13" ht="15">
      <c r="B443" s="645"/>
      <c r="C443" s="429"/>
      <c r="D443" s="429"/>
      <c r="E443" s="429"/>
      <c r="F443" s="429"/>
      <c r="G443" s="429"/>
      <c r="H443" s="429"/>
      <c r="I443" s="429"/>
      <c r="J443" s="429"/>
      <c r="K443" s="429"/>
      <c r="L443" s="429"/>
      <c r="M443" s="429"/>
    </row>
    <row r="444" spans="2:13" ht="15">
      <c r="B444" s="645"/>
      <c r="C444" s="429"/>
      <c r="D444" s="429"/>
      <c r="E444" s="429"/>
      <c r="F444" s="429"/>
      <c r="G444" s="429"/>
      <c r="H444" s="429"/>
      <c r="I444" s="429"/>
      <c r="J444" s="429"/>
      <c r="K444" s="429"/>
      <c r="L444" s="429"/>
      <c r="M444" s="429"/>
    </row>
    <row r="445" spans="2:13" ht="15">
      <c r="B445" s="645"/>
      <c r="C445" s="429"/>
      <c r="D445" s="429"/>
      <c r="E445" s="429"/>
      <c r="F445" s="429"/>
      <c r="G445" s="429"/>
      <c r="H445" s="429"/>
      <c r="I445" s="429"/>
      <c r="J445" s="429"/>
      <c r="K445" s="429"/>
      <c r="L445" s="429"/>
      <c r="M445" s="429"/>
    </row>
    <row r="446" spans="2:13" ht="15">
      <c r="B446" s="645"/>
      <c r="C446" s="429"/>
      <c r="D446" s="429"/>
      <c r="E446" s="429"/>
      <c r="F446" s="429"/>
      <c r="G446" s="429"/>
      <c r="H446" s="429"/>
      <c r="I446" s="429"/>
      <c r="J446" s="429"/>
      <c r="K446" s="429"/>
      <c r="L446" s="429"/>
      <c r="M446" s="429"/>
    </row>
    <row r="447" spans="2:13" ht="15">
      <c r="B447" s="645"/>
      <c r="C447" s="429"/>
      <c r="D447" s="429"/>
      <c r="E447" s="429"/>
      <c r="F447" s="429"/>
      <c r="G447" s="429"/>
      <c r="H447" s="429"/>
      <c r="I447" s="429"/>
      <c r="J447" s="429"/>
      <c r="K447" s="429"/>
      <c r="L447" s="429"/>
      <c r="M447" s="429"/>
    </row>
    <row r="448" spans="2:13" ht="15">
      <c r="B448" s="645"/>
      <c r="C448" s="429"/>
      <c r="D448" s="429"/>
      <c r="E448" s="429"/>
      <c r="F448" s="429"/>
      <c r="G448" s="429"/>
      <c r="H448" s="429"/>
      <c r="I448" s="429"/>
      <c r="J448" s="429"/>
      <c r="K448" s="429"/>
      <c r="L448" s="429"/>
      <c r="M448" s="429"/>
    </row>
    <row r="449" spans="2:13" ht="15">
      <c r="B449" s="645"/>
      <c r="C449" s="429"/>
      <c r="D449" s="429"/>
      <c r="E449" s="429"/>
      <c r="F449" s="429"/>
      <c r="G449" s="429"/>
      <c r="H449" s="429"/>
      <c r="I449" s="429"/>
      <c r="J449" s="429"/>
      <c r="K449" s="429"/>
      <c r="L449" s="429"/>
      <c r="M449" s="429"/>
    </row>
    <row r="450" spans="2:13" ht="15">
      <c r="B450" s="645"/>
      <c r="C450" s="429"/>
      <c r="D450" s="429"/>
      <c r="E450" s="429"/>
      <c r="F450" s="429"/>
      <c r="G450" s="429"/>
      <c r="H450" s="429"/>
      <c r="I450" s="429"/>
      <c r="J450" s="429"/>
      <c r="K450" s="429"/>
      <c r="L450" s="429"/>
      <c r="M450" s="429"/>
    </row>
    <row r="451" spans="2:13" ht="15">
      <c r="B451" s="645"/>
      <c r="C451" s="429"/>
      <c r="D451" s="429"/>
      <c r="E451" s="429"/>
      <c r="F451" s="429"/>
      <c r="G451" s="429"/>
      <c r="H451" s="429"/>
      <c r="I451" s="429"/>
      <c r="J451" s="429"/>
      <c r="K451" s="429"/>
      <c r="L451" s="429"/>
      <c r="M451" s="429"/>
    </row>
    <row r="452" spans="2:13" ht="15">
      <c r="B452" s="645"/>
      <c r="C452" s="429"/>
      <c r="D452" s="429"/>
      <c r="E452" s="429"/>
      <c r="F452" s="429"/>
      <c r="G452" s="429"/>
      <c r="H452" s="429"/>
      <c r="I452" s="429"/>
      <c r="J452" s="429"/>
      <c r="K452" s="429"/>
      <c r="L452" s="429"/>
      <c r="M452" s="429"/>
    </row>
    <row r="453" spans="2:13" ht="15">
      <c r="B453" s="645"/>
      <c r="C453" s="429"/>
      <c r="D453" s="429"/>
      <c r="E453" s="429"/>
      <c r="F453" s="429"/>
      <c r="G453" s="429"/>
      <c r="H453" s="429"/>
      <c r="I453" s="429"/>
      <c r="J453" s="429"/>
      <c r="K453" s="429"/>
      <c r="L453" s="429"/>
      <c r="M453" s="429"/>
    </row>
    <row r="454" spans="2:13" ht="15">
      <c r="B454" s="645"/>
      <c r="C454" s="429"/>
      <c r="D454" s="429"/>
      <c r="E454" s="429"/>
      <c r="F454" s="429"/>
      <c r="G454" s="429"/>
      <c r="H454" s="429"/>
      <c r="I454" s="429"/>
      <c r="J454" s="429"/>
      <c r="K454" s="429"/>
      <c r="L454" s="429"/>
      <c r="M454" s="429"/>
    </row>
    <row r="455" spans="2:13" ht="15">
      <c r="B455" s="645"/>
      <c r="C455" s="429"/>
      <c r="D455" s="429"/>
      <c r="E455" s="429"/>
      <c r="F455" s="429"/>
      <c r="G455" s="429"/>
      <c r="H455" s="429"/>
      <c r="I455" s="429"/>
      <c r="J455" s="429"/>
      <c r="K455" s="429"/>
      <c r="L455" s="429"/>
      <c r="M455" s="429"/>
    </row>
    <row r="456" spans="2:13" ht="15">
      <c r="B456" s="645"/>
      <c r="C456" s="429"/>
      <c r="D456" s="429"/>
      <c r="E456" s="429"/>
      <c r="F456" s="429"/>
      <c r="G456" s="429"/>
      <c r="H456" s="429"/>
      <c r="I456" s="429"/>
      <c r="J456" s="429"/>
      <c r="K456" s="429"/>
      <c r="L456" s="429"/>
      <c r="M456" s="429"/>
    </row>
    <row r="457" spans="2:13" ht="15">
      <c r="B457" s="645"/>
      <c r="C457" s="429"/>
      <c r="D457" s="429"/>
      <c r="E457" s="429"/>
      <c r="F457" s="429"/>
      <c r="G457" s="429"/>
      <c r="H457" s="429"/>
      <c r="I457" s="429"/>
      <c r="J457" s="429"/>
      <c r="K457" s="429"/>
      <c r="L457" s="429"/>
      <c r="M457" s="429"/>
    </row>
    <row r="458" spans="2:13" ht="15">
      <c r="B458" s="645"/>
      <c r="C458" s="429"/>
      <c r="D458" s="429"/>
      <c r="E458" s="429"/>
      <c r="F458" s="429"/>
      <c r="G458" s="429"/>
      <c r="H458" s="429"/>
      <c r="I458" s="429"/>
      <c r="J458" s="429"/>
      <c r="K458" s="429"/>
      <c r="L458" s="429"/>
      <c r="M458" s="429"/>
    </row>
    <row r="459" spans="2:13" ht="15">
      <c r="B459" s="645"/>
      <c r="C459" s="429"/>
      <c r="D459" s="429"/>
      <c r="E459" s="429"/>
      <c r="F459" s="429"/>
      <c r="G459" s="429"/>
      <c r="H459" s="429"/>
      <c r="I459" s="429"/>
      <c r="J459" s="429"/>
      <c r="K459" s="429"/>
      <c r="L459" s="429"/>
      <c r="M459" s="429"/>
    </row>
    <row r="460" spans="2:13" ht="15">
      <c r="B460" s="645"/>
      <c r="C460" s="429"/>
      <c r="D460" s="429"/>
      <c r="E460" s="429"/>
      <c r="F460" s="429"/>
      <c r="G460" s="429"/>
      <c r="H460" s="429"/>
      <c r="I460" s="429"/>
      <c r="J460" s="429"/>
      <c r="K460" s="429"/>
      <c r="L460" s="429"/>
      <c r="M460" s="429"/>
    </row>
    <row r="461" spans="2:13" ht="15">
      <c r="B461" s="645"/>
      <c r="C461" s="429"/>
      <c r="D461" s="429"/>
      <c r="E461" s="429"/>
      <c r="F461" s="429"/>
      <c r="G461" s="429"/>
      <c r="H461" s="429"/>
      <c r="I461" s="429"/>
      <c r="J461" s="429"/>
      <c r="K461" s="429"/>
      <c r="L461" s="429"/>
      <c r="M461" s="429"/>
    </row>
    <row r="462" spans="2:13" ht="15">
      <c r="B462" s="645"/>
      <c r="C462" s="429"/>
      <c r="D462" s="429"/>
      <c r="E462" s="429"/>
      <c r="F462" s="429"/>
      <c r="G462" s="429"/>
      <c r="H462" s="429"/>
      <c r="I462" s="429"/>
      <c r="J462" s="429"/>
      <c r="K462" s="429"/>
      <c r="L462" s="429"/>
      <c r="M462" s="429"/>
    </row>
    <row r="463" spans="2:13" ht="15">
      <c r="B463" s="645"/>
      <c r="C463" s="429"/>
      <c r="D463" s="429"/>
      <c r="E463" s="429"/>
      <c r="F463" s="429"/>
      <c r="G463" s="429"/>
      <c r="H463" s="429"/>
      <c r="I463" s="429"/>
      <c r="J463" s="429"/>
      <c r="K463" s="429"/>
      <c r="L463" s="429"/>
      <c r="M463" s="429"/>
    </row>
    <row r="464" spans="2:13" ht="15">
      <c r="B464" s="645"/>
      <c r="C464" s="429"/>
      <c r="D464" s="429"/>
      <c r="E464" s="429"/>
      <c r="F464" s="429"/>
      <c r="G464" s="429"/>
      <c r="H464" s="429"/>
      <c r="I464" s="429"/>
      <c r="J464" s="429"/>
      <c r="K464" s="429"/>
      <c r="L464" s="429"/>
      <c r="M464" s="429"/>
    </row>
    <row r="465" spans="2:13" ht="15">
      <c r="B465" s="645"/>
      <c r="C465" s="429"/>
      <c r="D465" s="429"/>
      <c r="E465" s="429"/>
      <c r="F465" s="429"/>
      <c r="G465" s="429"/>
      <c r="H465" s="429"/>
      <c r="I465" s="429"/>
      <c r="J465" s="429"/>
      <c r="K465" s="429"/>
      <c r="L465" s="429"/>
      <c r="M465" s="429"/>
    </row>
    <row r="466" spans="2:13" ht="15">
      <c r="B466" s="645"/>
      <c r="C466" s="429"/>
      <c r="D466" s="429"/>
      <c r="E466" s="429"/>
      <c r="F466" s="429"/>
      <c r="G466" s="429"/>
      <c r="H466" s="429"/>
      <c r="I466" s="429"/>
      <c r="J466" s="429"/>
      <c r="K466" s="429"/>
      <c r="L466" s="429"/>
      <c r="M466" s="429"/>
    </row>
    <row r="467" spans="2:13" ht="15">
      <c r="B467" s="645"/>
      <c r="C467" s="429"/>
      <c r="D467" s="429"/>
      <c r="E467" s="429"/>
      <c r="F467" s="429"/>
      <c r="G467" s="429"/>
      <c r="H467" s="429"/>
      <c r="I467" s="429"/>
      <c r="J467" s="429"/>
      <c r="K467" s="429"/>
      <c r="L467" s="429"/>
      <c r="M467" s="429"/>
    </row>
    <row r="468" spans="2:13" ht="15">
      <c r="B468" s="645"/>
      <c r="C468" s="429"/>
      <c r="D468" s="429"/>
      <c r="E468" s="429"/>
      <c r="F468" s="429"/>
      <c r="G468" s="429"/>
      <c r="H468" s="429"/>
      <c r="I468" s="429"/>
      <c r="J468" s="429"/>
      <c r="K468" s="429"/>
      <c r="L468" s="429"/>
      <c r="M468" s="429"/>
    </row>
    <row r="469" spans="2:13" ht="15">
      <c r="B469" s="645"/>
      <c r="C469" s="429"/>
      <c r="D469" s="429"/>
      <c r="E469" s="429"/>
      <c r="F469" s="429"/>
      <c r="G469" s="429"/>
      <c r="H469" s="429"/>
      <c r="I469" s="429"/>
      <c r="J469" s="429"/>
      <c r="K469" s="429"/>
      <c r="L469" s="429"/>
      <c r="M469" s="429"/>
    </row>
    <row r="470" spans="2:13" ht="15">
      <c r="B470" s="645"/>
      <c r="C470" s="429"/>
      <c r="D470" s="429"/>
      <c r="E470" s="429"/>
      <c r="F470" s="429"/>
      <c r="G470" s="429"/>
      <c r="H470" s="429"/>
      <c r="I470" s="429"/>
      <c r="J470" s="429"/>
      <c r="K470" s="429"/>
      <c r="L470" s="429"/>
      <c r="M470" s="429"/>
    </row>
    <row r="471" spans="2:13" ht="15">
      <c r="B471" s="645"/>
      <c r="C471" s="429"/>
      <c r="D471" s="429"/>
      <c r="E471" s="429"/>
      <c r="F471" s="429"/>
      <c r="G471" s="429"/>
      <c r="H471" s="429"/>
      <c r="I471" s="429"/>
      <c r="J471" s="429"/>
      <c r="K471" s="429"/>
      <c r="L471" s="429"/>
      <c r="M471" s="429"/>
    </row>
    <row r="472" spans="2:13" ht="15">
      <c r="B472" s="645"/>
      <c r="C472" s="429"/>
      <c r="D472" s="429"/>
      <c r="E472" s="429"/>
      <c r="F472" s="429"/>
      <c r="G472" s="429"/>
      <c r="H472" s="429"/>
      <c r="I472" s="429"/>
      <c r="J472" s="429"/>
      <c r="K472" s="429"/>
      <c r="L472" s="429"/>
      <c r="M472" s="429"/>
    </row>
    <row r="473" spans="2:13" ht="15">
      <c r="B473" s="645"/>
      <c r="C473" s="429"/>
      <c r="D473" s="429"/>
      <c r="E473" s="429"/>
      <c r="F473" s="429"/>
      <c r="G473" s="429"/>
      <c r="H473" s="429"/>
      <c r="I473" s="429"/>
      <c r="J473" s="429"/>
      <c r="K473" s="429"/>
      <c r="L473" s="429"/>
      <c r="M473" s="429"/>
    </row>
    <row r="474" spans="2:13" ht="15">
      <c r="B474" s="645"/>
      <c r="C474" s="429"/>
      <c r="D474" s="429"/>
      <c r="E474" s="429"/>
      <c r="F474" s="429"/>
      <c r="G474" s="429"/>
      <c r="H474" s="429"/>
      <c r="I474" s="429"/>
      <c r="J474" s="429"/>
      <c r="K474" s="429"/>
      <c r="L474" s="429"/>
      <c r="M474" s="429"/>
    </row>
    <row r="475" spans="2:13" ht="15">
      <c r="B475" s="645"/>
      <c r="C475" s="429"/>
      <c r="D475" s="429"/>
      <c r="E475" s="429"/>
      <c r="F475" s="429"/>
      <c r="G475" s="429"/>
      <c r="H475" s="429"/>
      <c r="I475" s="429"/>
      <c r="J475" s="429"/>
      <c r="K475" s="429"/>
      <c r="L475" s="429"/>
      <c r="M475" s="429"/>
    </row>
    <row r="476" spans="2:13" ht="15">
      <c r="B476" s="645"/>
      <c r="C476" s="429"/>
      <c r="D476" s="429"/>
      <c r="E476" s="429"/>
      <c r="F476" s="429"/>
      <c r="G476" s="429"/>
      <c r="H476" s="429"/>
      <c r="I476" s="429"/>
      <c r="J476" s="429"/>
      <c r="K476" s="429"/>
      <c r="L476" s="429"/>
      <c r="M476" s="429"/>
    </row>
    <row r="477" spans="2:13" ht="15">
      <c r="B477" s="645"/>
      <c r="C477" s="429"/>
      <c r="D477" s="429"/>
      <c r="E477" s="429"/>
      <c r="F477" s="429"/>
      <c r="G477" s="429"/>
      <c r="H477" s="429"/>
      <c r="I477" s="429"/>
      <c r="J477" s="429"/>
      <c r="K477" s="429"/>
      <c r="L477" s="429"/>
      <c r="M477" s="429"/>
    </row>
    <row r="478" spans="2:13" ht="15">
      <c r="B478" s="645"/>
      <c r="C478" s="429"/>
      <c r="D478" s="429"/>
      <c r="E478" s="429"/>
      <c r="F478" s="429"/>
      <c r="G478" s="429"/>
      <c r="H478" s="429"/>
      <c r="I478" s="429"/>
      <c r="J478" s="429"/>
      <c r="K478" s="429"/>
      <c r="L478" s="429"/>
      <c r="M478" s="429"/>
    </row>
    <row r="479" spans="2:13" ht="15">
      <c r="B479" s="645"/>
      <c r="C479" s="429"/>
      <c r="D479" s="429"/>
      <c r="E479" s="429"/>
      <c r="F479" s="429"/>
      <c r="G479" s="429"/>
      <c r="H479" s="429"/>
      <c r="I479" s="429"/>
      <c r="J479" s="429"/>
      <c r="K479" s="429"/>
      <c r="L479" s="429"/>
      <c r="M479" s="429"/>
    </row>
    <row r="480" spans="2:13" ht="15">
      <c r="B480" s="645"/>
      <c r="C480" s="429"/>
      <c r="D480" s="429"/>
      <c r="E480" s="429"/>
      <c r="F480" s="429"/>
      <c r="G480" s="429"/>
      <c r="H480" s="429"/>
      <c r="I480" s="429"/>
      <c r="J480" s="429"/>
      <c r="K480" s="429"/>
      <c r="L480" s="429"/>
      <c r="M480" s="429"/>
    </row>
    <row r="481" spans="2:13" ht="15">
      <c r="B481" s="645"/>
      <c r="C481" s="429"/>
      <c r="D481" s="429"/>
      <c r="E481" s="429"/>
      <c r="F481" s="429"/>
      <c r="G481" s="429"/>
      <c r="H481" s="429"/>
      <c r="I481" s="429"/>
      <c r="J481" s="429"/>
      <c r="K481" s="429"/>
      <c r="L481" s="429"/>
      <c r="M481" s="429"/>
    </row>
    <row r="482" spans="2:13" ht="15">
      <c r="B482" s="645"/>
      <c r="C482" s="429"/>
      <c r="D482" s="429"/>
      <c r="E482" s="429"/>
      <c r="F482" s="429"/>
      <c r="G482" s="429"/>
      <c r="H482" s="429"/>
      <c r="I482" s="429"/>
      <c r="J482" s="429"/>
      <c r="K482" s="429"/>
      <c r="L482" s="429"/>
      <c r="M482" s="429"/>
    </row>
    <row r="483" spans="2:13" ht="15">
      <c r="B483" s="645"/>
      <c r="C483" s="429"/>
      <c r="D483" s="429"/>
      <c r="E483" s="429"/>
      <c r="F483" s="429"/>
      <c r="G483" s="429"/>
      <c r="H483" s="429"/>
      <c r="I483" s="429"/>
      <c r="J483" s="429"/>
      <c r="K483" s="429"/>
      <c r="L483" s="429"/>
      <c r="M483" s="429"/>
    </row>
    <row r="484" spans="2:13" ht="15">
      <c r="B484" s="645"/>
      <c r="C484" s="429"/>
      <c r="D484" s="429"/>
      <c r="E484" s="429"/>
      <c r="F484" s="429"/>
      <c r="G484" s="429"/>
      <c r="H484" s="429"/>
      <c r="I484" s="429"/>
      <c r="J484" s="429"/>
      <c r="K484" s="429"/>
      <c r="L484" s="429"/>
      <c r="M484" s="429"/>
    </row>
    <row r="485" spans="2:13" ht="15">
      <c r="B485" s="645"/>
      <c r="C485" s="429"/>
      <c r="D485" s="429"/>
      <c r="E485" s="429"/>
      <c r="F485" s="429"/>
      <c r="G485" s="429"/>
      <c r="H485" s="429"/>
      <c r="I485" s="429"/>
      <c r="J485" s="429"/>
      <c r="K485" s="429"/>
      <c r="L485" s="429"/>
      <c r="M485" s="429"/>
    </row>
    <row r="486" spans="2:13" ht="15">
      <c r="B486" s="645"/>
      <c r="C486" s="429"/>
      <c r="D486" s="429"/>
      <c r="E486" s="429"/>
      <c r="F486" s="429"/>
      <c r="G486" s="429"/>
      <c r="H486" s="429"/>
      <c r="I486" s="429"/>
      <c r="J486" s="429"/>
      <c r="K486" s="429"/>
      <c r="L486" s="429"/>
      <c r="M486" s="429"/>
    </row>
    <row r="487" spans="2:13" ht="15">
      <c r="B487" s="645"/>
      <c r="C487" s="429"/>
      <c r="D487" s="429"/>
      <c r="E487" s="429"/>
      <c r="F487" s="429"/>
      <c r="G487" s="429"/>
      <c r="H487" s="429"/>
      <c r="I487" s="429"/>
      <c r="J487" s="429"/>
      <c r="K487" s="429"/>
      <c r="L487" s="429"/>
      <c r="M487" s="429"/>
    </row>
    <row r="488" spans="2:13" ht="15">
      <c r="B488" s="645"/>
      <c r="C488" s="429"/>
      <c r="D488" s="429"/>
      <c r="E488" s="429"/>
      <c r="F488" s="429"/>
      <c r="G488" s="429"/>
      <c r="H488" s="429"/>
      <c r="I488" s="429"/>
      <c r="J488" s="429"/>
      <c r="K488" s="429"/>
      <c r="L488" s="429"/>
      <c r="M488" s="429"/>
    </row>
    <row r="489" spans="2:13" ht="15">
      <c r="B489" s="645"/>
      <c r="C489" s="429"/>
      <c r="D489" s="429"/>
      <c r="E489" s="429"/>
      <c r="F489" s="429"/>
      <c r="G489" s="429"/>
      <c r="H489" s="429"/>
      <c r="I489" s="429"/>
      <c r="J489" s="429"/>
      <c r="K489" s="429"/>
      <c r="L489" s="429"/>
      <c r="M489" s="429"/>
    </row>
    <row r="490" spans="2:13" ht="15">
      <c r="B490" s="645"/>
      <c r="C490" s="429"/>
      <c r="D490" s="429"/>
      <c r="E490" s="429"/>
      <c r="F490" s="429"/>
      <c r="G490" s="429"/>
      <c r="H490" s="429"/>
      <c r="I490" s="429"/>
      <c r="J490" s="429"/>
      <c r="K490" s="429"/>
      <c r="L490" s="429"/>
      <c r="M490" s="429"/>
    </row>
    <row r="491" spans="2:13" ht="15">
      <c r="B491" s="645"/>
      <c r="C491" s="429"/>
      <c r="D491" s="429"/>
      <c r="E491" s="429"/>
      <c r="F491" s="429"/>
      <c r="G491" s="429"/>
      <c r="H491" s="429"/>
      <c r="I491" s="429"/>
      <c r="J491" s="429"/>
      <c r="K491" s="429"/>
      <c r="L491" s="429"/>
      <c r="M491" s="429"/>
    </row>
    <row r="492" spans="2:13" ht="15">
      <c r="B492" s="645"/>
      <c r="C492" s="429"/>
      <c r="D492" s="429"/>
      <c r="E492" s="429"/>
      <c r="F492" s="429"/>
      <c r="G492" s="429"/>
      <c r="H492" s="429"/>
      <c r="I492" s="429"/>
      <c r="J492" s="429"/>
      <c r="K492" s="429"/>
      <c r="L492" s="429"/>
      <c r="M492" s="429"/>
    </row>
    <row r="493" spans="2:13" ht="15">
      <c r="B493" s="645"/>
      <c r="C493" s="429"/>
      <c r="D493" s="429"/>
      <c r="E493" s="429"/>
      <c r="F493" s="429"/>
      <c r="G493" s="429"/>
      <c r="H493" s="429"/>
      <c r="I493" s="429"/>
      <c r="J493" s="429"/>
      <c r="K493" s="429"/>
      <c r="L493" s="429"/>
      <c r="M493" s="429"/>
    </row>
    <row r="494" spans="2:13" ht="15">
      <c r="B494" s="645"/>
      <c r="C494" s="429"/>
      <c r="D494" s="429"/>
      <c r="E494" s="429"/>
      <c r="F494" s="429"/>
      <c r="G494" s="429"/>
      <c r="H494" s="429"/>
      <c r="I494" s="429"/>
      <c r="J494" s="429"/>
      <c r="K494" s="429"/>
      <c r="L494" s="429"/>
      <c r="M494" s="429"/>
    </row>
    <row r="495" spans="2:13" ht="15">
      <c r="B495" s="645"/>
      <c r="C495" s="429"/>
      <c r="D495" s="429"/>
      <c r="E495" s="429"/>
      <c r="F495" s="429"/>
      <c r="G495" s="429"/>
      <c r="H495" s="429"/>
      <c r="I495" s="429"/>
      <c r="J495" s="429"/>
      <c r="K495" s="429"/>
      <c r="L495" s="429"/>
      <c r="M495" s="429"/>
    </row>
    <row r="496" spans="2:13" ht="15">
      <c r="B496" s="645"/>
      <c r="C496" s="429"/>
      <c r="D496" s="429"/>
      <c r="E496" s="429"/>
      <c r="F496" s="429"/>
      <c r="G496" s="429"/>
      <c r="H496" s="429"/>
      <c r="I496" s="429"/>
      <c r="J496" s="429"/>
      <c r="K496" s="429"/>
      <c r="L496" s="429"/>
      <c r="M496" s="429"/>
    </row>
    <row r="497" spans="2:13" ht="15">
      <c r="B497" s="645"/>
      <c r="C497" s="429"/>
      <c r="D497" s="429"/>
      <c r="E497" s="429"/>
      <c r="F497" s="429"/>
      <c r="G497" s="429"/>
      <c r="H497" s="429"/>
      <c r="I497" s="429"/>
      <c r="J497" s="429"/>
      <c r="K497" s="429"/>
      <c r="L497" s="429"/>
      <c r="M497" s="429"/>
    </row>
    <row r="498" spans="2:13" ht="15">
      <c r="B498" s="645"/>
      <c r="C498" s="429"/>
      <c r="D498" s="429"/>
      <c r="E498" s="429"/>
      <c r="F498" s="429"/>
      <c r="G498" s="429"/>
      <c r="H498" s="429"/>
      <c r="I498" s="429"/>
      <c r="J498" s="429"/>
      <c r="K498" s="429"/>
      <c r="L498" s="429"/>
      <c r="M498" s="429"/>
    </row>
    <row r="499" spans="2:13" ht="15">
      <c r="B499" s="645"/>
      <c r="C499" s="429"/>
      <c r="D499" s="429"/>
      <c r="E499" s="429"/>
      <c r="F499" s="429"/>
      <c r="G499" s="429"/>
      <c r="H499" s="429"/>
      <c r="I499" s="429"/>
      <c r="J499" s="429"/>
      <c r="K499" s="429"/>
      <c r="L499" s="429"/>
      <c r="M499" s="429"/>
    </row>
    <row r="500" spans="2:13" ht="15">
      <c r="B500" s="645"/>
      <c r="C500" s="429"/>
      <c r="D500" s="429"/>
      <c r="E500" s="429"/>
      <c r="F500" s="429"/>
      <c r="G500" s="429"/>
      <c r="H500" s="429"/>
      <c r="I500" s="429"/>
      <c r="J500" s="429"/>
      <c r="K500" s="429"/>
      <c r="L500" s="429"/>
      <c r="M500" s="429"/>
    </row>
    <row r="501" spans="2:13" ht="15">
      <c r="B501" s="645"/>
      <c r="C501" s="429"/>
      <c r="D501" s="429"/>
      <c r="E501" s="429"/>
      <c r="F501" s="429"/>
      <c r="G501" s="429"/>
      <c r="H501" s="429"/>
      <c r="I501" s="429"/>
      <c r="J501" s="429"/>
      <c r="K501" s="429"/>
      <c r="L501" s="429"/>
      <c r="M501" s="429"/>
    </row>
    <row r="502" spans="2:13" ht="15">
      <c r="B502" s="645"/>
      <c r="C502" s="429"/>
      <c r="D502" s="429"/>
      <c r="E502" s="429"/>
      <c r="F502" s="429"/>
      <c r="G502" s="429"/>
      <c r="H502" s="429"/>
      <c r="I502" s="429"/>
      <c r="J502" s="429"/>
      <c r="K502" s="429"/>
      <c r="L502" s="429"/>
      <c r="M502" s="429"/>
    </row>
    <row r="503" spans="2:13" ht="15">
      <c r="B503" s="645"/>
      <c r="C503" s="429"/>
      <c r="D503" s="429"/>
      <c r="E503" s="429"/>
      <c r="F503" s="429"/>
      <c r="G503" s="429"/>
      <c r="H503" s="429"/>
      <c r="I503" s="429"/>
      <c r="J503" s="429"/>
      <c r="K503" s="429"/>
      <c r="L503" s="429"/>
      <c r="M503" s="429"/>
    </row>
    <row r="504" spans="2:13" ht="15">
      <c r="B504" s="645"/>
      <c r="C504" s="429"/>
      <c r="D504" s="429"/>
      <c r="E504" s="429"/>
      <c r="F504" s="429"/>
      <c r="G504" s="429"/>
      <c r="H504" s="429"/>
      <c r="I504" s="429"/>
      <c r="J504" s="429"/>
      <c r="K504" s="429"/>
      <c r="L504" s="429"/>
      <c r="M504" s="429"/>
    </row>
    <row r="505" spans="2:13" ht="15">
      <c r="B505" s="645"/>
      <c r="C505" s="429"/>
      <c r="D505" s="429"/>
      <c r="E505" s="429"/>
      <c r="F505" s="429"/>
      <c r="G505" s="429"/>
      <c r="H505" s="429"/>
      <c r="I505" s="429"/>
      <c r="J505" s="429"/>
      <c r="K505" s="429"/>
      <c r="L505" s="429"/>
      <c r="M505" s="429"/>
    </row>
    <row r="506" spans="2:13" ht="15">
      <c r="B506" s="645"/>
      <c r="C506" s="429"/>
      <c r="D506" s="429"/>
      <c r="E506" s="429"/>
      <c r="F506" s="429"/>
      <c r="G506" s="429"/>
      <c r="H506" s="429"/>
      <c r="I506" s="429"/>
      <c r="J506" s="429"/>
      <c r="K506" s="429"/>
      <c r="L506" s="429"/>
      <c r="M506" s="429"/>
    </row>
    <row r="507" spans="2:13" ht="15">
      <c r="B507" s="645"/>
      <c r="C507" s="429"/>
      <c r="D507" s="429"/>
      <c r="E507" s="429"/>
      <c r="F507" s="429"/>
      <c r="G507" s="429"/>
      <c r="H507" s="429"/>
      <c r="I507" s="429"/>
      <c r="J507" s="429"/>
      <c r="K507" s="429"/>
      <c r="L507" s="429"/>
      <c r="M507" s="429"/>
    </row>
    <row r="508" spans="2:13" ht="15">
      <c r="B508" s="645"/>
      <c r="C508" s="429"/>
      <c r="D508" s="429"/>
      <c r="E508" s="429"/>
      <c r="F508" s="429"/>
      <c r="G508" s="429"/>
      <c r="H508" s="429"/>
      <c r="I508" s="429"/>
      <c r="J508" s="429"/>
      <c r="K508" s="429"/>
      <c r="L508" s="429"/>
      <c r="M508" s="429"/>
    </row>
    <row r="509" spans="2:13" ht="15">
      <c r="B509" s="645"/>
      <c r="C509" s="429"/>
      <c r="D509" s="429"/>
      <c r="E509" s="429"/>
      <c r="F509" s="429"/>
      <c r="G509" s="429"/>
      <c r="H509" s="429"/>
      <c r="I509" s="429"/>
      <c r="J509" s="429"/>
      <c r="K509" s="429"/>
      <c r="L509" s="429"/>
      <c r="M509" s="429"/>
    </row>
    <row r="510" spans="2:13" ht="15">
      <c r="B510" s="645"/>
      <c r="C510" s="429"/>
      <c r="D510" s="429"/>
      <c r="E510" s="429"/>
      <c r="F510" s="429"/>
      <c r="G510" s="429"/>
      <c r="H510" s="429"/>
      <c r="I510" s="429"/>
      <c r="J510" s="429"/>
      <c r="K510" s="429"/>
      <c r="L510" s="429"/>
      <c r="M510" s="429"/>
    </row>
    <row r="511" spans="2:13" ht="15">
      <c r="B511" s="645"/>
      <c r="C511" s="429"/>
      <c r="D511" s="429"/>
      <c r="E511" s="429"/>
      <c r="F511" s="429"/>
      <c r="G511" s="429"/>
      <c r="H511" s="429"/>
      <c r="I511" s="429"/>
      <c r="J511" s="429"/>
      <c r="K511" s="429"/>
      <c r="L511" s="429"/>
      <c r="M511" s="429"/>
    </row>
    <row r="512" spans="2:13" ht="15">
      <c r="B512" s="645"/>
      <c r="C512" s="429"/>
      <c r="D512" s="429"/>
      <c r="E512" s="429"/>
      <c r="F512" s="429"/>
      <c r="G512" s="429"/>
      <c r="H512" s="429"/>
      <c r="I512" s="429"/>
      <c r="J512" s="429"/>
      <c r="K512" s="429"/>
      <c r="L512" s="429"/>
      <c r="M512" s="429"/>
    </row>
    <row r="513" spans="2:13" ht="15">
      <c r="B513" s="645"/>
      <c r="C513" s="429"/>
      <c r="D513" s="429"/>
      <c r="E513" s="429"/>
      <c r="F513" s="429"/>
      <c r="G513" s="429"/>
      <c r="H513" s="429"/>
      <c r="I513" s="429"/>
      <c r="J513" s="429"/>
      <c r="K513" s="429"/>
      <c r="L513" s="429"/>
      <c r="M513" s="429"/>
    </row>
    <row r="514" spans="2:13" ht="15">
      <c r="B514" s="645"/>
      <c r="C514" s="429"/>
      <c r="D514" s="429"/>
      <c r="E514" s="429"/>
      <c r="F514" s="429"/>
      <c r="G514" s="429"/>
      <c r="H514" s="429"/>
      <c r="I514" s="429"/>
      <c r="J514" s="429"/>
      <c r="K514" s="429"/>
      <c r="L514" s="429"/>
      <c r="M514" s="429"/>
    </row>
    <row r="515" spans="2:13" ht="15">
      <c r="B515" s="645"/>
      <c r="C515" s="429"/>
      <c r="D515" s="429"/>
      <c r="E515" s="429"/>
      <c r="F515" s="429"/>
      <c r="G515" s="429"/>
      <c r="H515" s="429"/>
      <c r="I515" s="429"/>
      <c r="J515" s="429"/>
      <c r="K515" s="429"/>
      <c r="L515" s="429"/>
      <c r="M515" s="429"/>
    </row>
    <row r="516" spans="2:13" ht="15">
      <c r="B516" s="645"/>
      <c r="C516" s="429"/>
      <c r="D516" s="429"/>
      <c r="E516" s="429"/>
      <c r="F516" s="429"/>
      <c r="G516" s="429"/>
      <c r="H516" s="429"/>
      <c r="I516" s="429"/>
      <c r="J516" s="429"/>
      <c r="K516" s="429"/>
      <c r="L516" s="429"/>
      <c r="M516" s="429"/>
    </row>
    <row r="517" spans="2:13" ht="15">
      <c r="B517" s="645"/>
      <c r="C517" s="429"/>
      <c r="D517" s="429"/>
      <c r="E517" s="429"/>
      <c r="F517" s="429"/>
      <c r="G517" s="429"/>
      <c r="H517" s="429"/>
      <c r="I517" s="429"/>
      <c r="J517" s="429"/>
      <c r="K517" s="429"/>
      <c r="L517" s="429"/>
      <c r="M517" s="429"/>
    </row>
    <row r="518" spans="2:13" ht="15">
      <c r="B518" s="645"/>
      <c r="C518" s="429"/>
      <c r="D518" s="429"/>
      <c r="E518" s="429"/>
      <c r="F518" s="429"/>
      <c r="G518" s="429"/>
      <c r="H518" s="429"/>
      <c r="I518" s="429"/>
      <c r="J518" s="429"/>
      <c r="K518" s="429"/>
      <c r="L518" s="429"/>
      <c r="M518" s="429"/>
    </row>
    <row r="519" spans="2:13" ht="15">
      <c r="B519" s="645"/>
      <c r="C519" s="429"/>
      <c r="D519" s="429"/>
      <c r="E519" s="429"/>
      <c r="F519" s="429"/>
      <c r="G519" s="429"/>
      <c r="H519" s="429"/>
      <c r="I519" s="429"/>
      <c r="J519" s="429"/>
      <c r="K519" s="429"/>
      <c r="L519" s="429"/>
      <c r="M519" s="429"/>
    </row>
    <row r="520" spans="2:13" ht="15">
      <c r="B520" s="645"/>
      <c r="C520" s="429"/>
      <c r="D520" s="429"/>
      <c r="E520" s="429"/>
      <c r="F520" s="429"/>
      <c r="G520" s="429"/>
      <c r="H520" s="429"/>
      <c r="I520" s="429"/>
      <c r="J520" s="429"/>
      <c r="K520" s="429"/>
      <c r="L520" s="429"/>
      <c r="M520" s="429"/>
    </row>
    <row r="521" spans="2:13" ht="15">
      <c r="B521" s="645"/>
      <c r="C521" s="429"/>
      <c r="D521" s="429"/>
      <c r="E521" s="429"/>
      <c r="F521" s="429"/>
      <c r="G521" s="429"/>
      <c r="H521" s="429"/>
      <c r="I521" s="429"/>
      <c r="J521" s="429"/>
      <c r="K521" s="429"/>
      <c r="L521" s="429"/>
      <c r="M521" s="429"/>
    </row>
    <row r="522" spans="2:13" ht="15">
      <c r="B522" s="645"/>
      <c r="C522" s="429"/>
      <c r="D522" s="429"/>
      <c r="E522" s="429"/>
      <c r="F522" s="429"/>
      <c r="G522" s="429"/>
      <c r="H522" s="429"/>
      <c r="I522" s="429"/>
      <c r="J522" s="429"/>
      <c r="K522" s="429"/>
      <c r="L522" s="429"/>
      <c r="M522" s="429"/>
    </row>
    <row r="523" spans="2:13" ht="15">
      <c r="B523" s="645"/>
      <c r="C523" s="429"/>
      <c r="D523" s="429"/>
      <c r="E523" s="429"/>
      <c r="F523" s="429"/>
      <c r="G523" s="429"/>
      <c r="H523" s="429"/>
      <c r="I523" s="429"/>
      <c r="J523" s="429"/>
      <c r="K523" s="429"/>
      <c r="L523" s="429"/>
      <c r="M523" s="429"/>
    </row>
    <row r="524" spans="2:13" ht="15">
      <c r="B524" s="645"/>
      <c r="C524" s="429"/>
      <c r="D524" s="429"/>
      <c r="E524" s="429"/>
      <c r="F524" s="429"/>
      <c r="G524" s="429"/>
      <c r="H524" s="429"/>
      <c r="I524" s="429"/>
      <c r="J524" s="429"/>
      <c r="K524" s="429"/>
      <c r="L524" s="429"/>
      <c r="M524" s="429"/>
    </row>
    <row r="525" spans="2:13" ht="15">
      <c r="B525" s="645"/>
      <c r="C525" s="429"/>
      <c r="D525" s="429"/>
      <c r="E525" s="429"/>
      <c r="F525" s="429"/>
      <c r="G525" s="429"/>
      <c r="H525" s="429"/>
      <c r="I525" s="429"/>
      <c r="J525" s="429"/>
      <c r="K525" s="429"/>
      <c r="L525" s="429"/>
      <c r="M525" s="429"/>
    </row>
    <row r="526" spans="2:13" ht="15">
      <c r="B526" s="645"/>
      <c r="C526" s="429"/>
      <c r="D526" s="429"/>
      <c r="E526" s="429"/>
      <c r="F526" s="429"/>
      <c r="G526" s="429"/>
      <c r="H526" s="429"/>
      <c r="I526" s="429"/>
      <c r="J526" s="429"/>
      <c r="K526" s="429"/>
      <c r="L526" s="429"/>
      <c r="M526" s="429"/>
    </row>
    <row r="527" spans="2:13" ht="15">
      <c r="B527" s="645"/>
      <c r="C527" s="429"/>
      <c r="D527" s="429"/>
      <c r="E527" s="429"/>
      <c r="F527" s="429"/>
      <c r="G527" s="429"/>
      <c r="H527" s="429"/>
      <c r="I527" s="429"/>
      <c r="J527" s="429"/>
      <c r="K527" s="429"/>
      <c r="L527" s="429"/>
      <c r="M527" s="429"/>
    </row>
    <row r="528" spans="2:13" ht="15">
      <c r="B528" s="645"/>
      <c r="C528" s="429"/>
      <c r="D528" s="429"/>
      <c r="E528" s="429"/>
      <c r="F528" s="429"/>
      <c r="G528" s="429"/>
      <c r="H528" s="429"/>
      <c r="I528" s="429"/>
      <c r="J528" s="429"/>
      <c r="K528" s="429"/>
      <c r="L528" s="429"/>
      <c r="M528" s="429"/>
    </row>
    <row r="529" spans="2:13" ht="15">
      <c r="B529" s="645"/>
      <c r="C529" s="429"/>
      <c r="D529" s="429"/>
      <c r="E529" s="429"/>
      <c r="F529" s="429"/>
      <c r="G529" s="429"/>
      <c r="H529" s="429"/>
      <c r="I529" s="429"/>
      <c r="J529" s="429"/>
      <c r="K529" s="429"/>
      <c r="L529" s="429"/>
      <c r="M529" s="429"/>
    </row>
    <row r="530" spans="2:13" ht="15">
      <c r="B530" s="645"/>
      <c r="C530" s="429"/>
      <c r="D530" s="429"/>
      <c r="E530" s="429"/>
      <c r="F530" s="429"/>
      <c r="G530" s="429"/>
      <c r="H530" s="429"/>
      <c r="I530" s="429"/>
      <c r="J530" s="429"/>
      <c r="K530" s="429"/>
      <c r="L530" s="429"/>
      <c r="M530" s="429"/>
    </row>
    <row r="531" spans="2:13" ht="15">
      <c r="B531" s="645"/>
      <c r="C531" s="429"/>
      <c r="D531" s="429"/>
      <c r="E531" s="429"/>
      <c r="F531" s="429"/>
      <c r="G531" s="429"/>
      <c r="H531" s="429"/>
      <c r="I531" s="429"/>
      <c r="J531" s="429"/>
      <c r="K531" s="429"/>
      <c r="L531" s="429"/>
      <c r="M531" s="429"/>
    </row>
    <row r="532" spans="2:13" ht="15">
      <c r="B532" s="645"/>
      <c r="C532" s="429"/>
      <c r="D532" s="429"/>
      <c r="E532" s="429"/>
      <c r="F532" s="429"/>
      <c r="G532" s="429"/>
      <c r="H532" s="429"/>
      <c r="I532" s="429"/>
      <c r="J532" s="429"/>
      <c r="K532" s="429"/>
      <c r="L532" s="429"/>
      <c r="M532" s="429"/>
    </row>
    <row r="533" spans="2:13" ht="15">
      <c r="B533" s="645"/>
      <c r="C533" s="429"/>
      <c r="D533" s="429"/>
      <c r="E533" s="429"/>
      <c r="F533" s="429"/>
      <c r="G533" s="429"/>
      <c r="H533" s="429"/>
      <c r="I533" s="429"/>
      <c r="J533" s="429"/>
      <c r="K533" s="429"/>
      <c r="L533" s="429"/>
      <c r="M533" s="429"/>
    </row>
    <row r="534" spans="2:13" ht="15">
      <c r="B534" s="645"/>
      <c r="C534" s="429"/>
      <c r="D534" s="429"/>
      <c r="E534" s="429"/>
      <c r="F534" s="429"/>
      <c r="G534" s="429"/>
      <c r="H534" s="429"/>
      <c r="I534" s="429"/>
      <c r="J534" s="429"/>
      <c r="K534" s="429"/>
      <c r="L534" s="429"/>
      <c r="M534" s="429"/>
    </row>
    <row r="535" spans="2:13" ht="15">
      <c r="B535" s="645"/>
      <c r="C535" s="429"/>
      <c r="D535" s="429"/>
      <c r="E535" s="429"/>
      <c r="F535" s="429"/>
      <c r="G535" s="429"/>
      <c r="H535" s="429"/>
      <c r="I535" s="429"/>
      <c r="J535" s="429"/>
      <c r="K535" s="429"/>
      <c r="L535" s="429"/>
      <c r="M535" s="429"/>
    </row>
    <row r="536" spans="2:13" ht="15">
      <c r="B536" s="645"/>
      <c r="C536" s="429"/>
      <c r="D536" s="429"/>
      <c r="E536" s="429"/>
      <c r="F536" s="429"/>
      <c r="G536" s="429"/>
      <c r="H536" s="429"/>
      <c r="I536" s="429"/>
      <c r="J536" s="429"/>
      <c r="K536" s="429"/>
      <c r="L536" s="429"/>
      <c r="M536" s="429"/>
    </row>
    <row r="537" spans="2:13" ht="15">
      <c r="B537" s="645"/>
      <c r="C537" s="429"/>
      <c r="D537" s="429"/>
      <c r="E537" s="429"/>
      <c r="F537" s="429"/>
      <c r="G537" s="429"/>
      <c r="H537" s="429"/>
      <c r="I537" s="429"/>
      <c r="J537" s="429"/>
      <c r="K537" s="429"/>
      <c r="L537" s="429"/>
      <c r="M537" s="429"/>
    </row>
    <row r="538" spans="2:13" ht="15">
      <c r="B538" s="645"/>
      <c r="C538" s="429"/>
      <c r="D538" s="429"/>
      <c r="E538" s="429"/>
      <c r="F538" s="429"/>
      <c r="G538" s="429"/>
      <c r="H538" s="429"/>
      <c r="I538" s="429"/>
      <c r="J538" s="429"/>
      <c r="K538" s="429"/>
      <c r="L538" s="429"/>
      <c r="M538" s="429"/>
    </row>
    <row r="539" spans="2:13" ht="15">
      <c r="B539" s="645"/>
      <c r="C539" s="429"/>
      <c r="D539" s="429"/>
      <c r="E539" s="429"/>
      <c r="F539" s="429"/>
      <c r="G539" s="429"/>
      <c r="H539" s="429"/>
      <c r="I539" s="429"/>
      <c r="J539" s="429"/>
      <c r="K539" s="429"/>
      <c r="L539" s="429"/>
      <c r="M539" s="429"/>
    </row>
    <row r="540" spans="2:13" ht="15">
      <c r="B540" s="645"/>
      <c r="C540" s="429"/>
      <c r="D540" s="429"/>
      <c r="E540" s="429"/>
      <c r="F540" s="429"/>
      <c r="G540" s="429"/>
      <c r="H540" s="429"/>
      <c r="I540" s="429"/>
      <c r="J540" s="429"/>
      <c r="K540" s="429"/>
      <c r="L540" s="429"/>
      <c r="M540" s="429"/>
    </row>
    <row r="541" spans="2:13" ht="15">
      <c r="B541" s="645"/>
      <c r="C541" s="429"/>
      <c r="D541" s="429"/>
      <c r="E541" s="429"/>
      <c r="F541" s="429"/>
      <c r="G541" s="429"/>
      <c r="H541" s="429"/>
      <c r="I541" s="429"/>
      <c r="J541" s="429"/>
      <c r="K541" s="429"/>
      <c r="L541" s="429"/>
      <c r="M541" s="429"/>
    </row>
    <row r="542" spans="2:13" ht="15">
      <c r="B542" s="645"/>
      <c r="C542" s="429"/>
      <c r="D542" s="429"/>
      <c r="E542" s="429"/>
      <c r="F542" s="429"/>
      <c r="G542" s="429"/>
      <c r="H542" s="429"/>
      <c r="I542" s="429"/>
      <c r="J542" s="429"/>
      <c r="K542" s="429"/>
      <c r="L542" s="429"/>
      <c r="M542" s="429"/>
    </row>
    <row r="543" spans="2:13" ht="15">
      <c r="B543" s="645"/>
      <c r="C543" s="429"/>
      <c r="D543" s="429"/>
      <c r="E543" s="429"/>
      <c r="F543" s="429"/>
      <c r="G543" s="429"/>
      <c r="H543" s="429"/>
      <c r="I543" s="429"/>
      <c r="J543" s="429"/>
      <c r="K543" s="429"/>
      <c r="L543" s="429"/>
      <c r="M543" s="429"/>
    </row>
    <row r="544" spans="2:13" ht="15">
      <c r="B544" s="645"/>
      <c r="C544" s="429"/>
      <c r="D544" s="429"/>
      <c r="E544" s="429"/>
      <c r="F544" s="429"/>
      <c r="G544" s="429"/>
      <c r="H544" s="429"/>
      <c r="I544" s="429"/>
      <c r="J544" s="429"/>
      <c r="K544" s="429"/>
      <c r="L544" s="429"/>
      <c r="M544" s="429"/>
    </row>
    <row r="545" spans="2:13" ht="15">
      <c r="B545" s="645"/>
      <c r="C545" s="429"/>
      <c r="D545" s="429"/>
      <c r="E545" s="429"/>
      <c r="F545" s="429"/>
      <c r="G545" s="429"/>
      <c r="H545" s="429"/>
      <c r="I545" s="429"/>
      <c r="J545" s="429"/>
      <c r="K545" s="429"/>
      <c r="L545" s="429"/>
      <c r="M545" s="429"/>
    </row>
    <row r="546" spans="2:13" ht="15">
      <c r="B546" s="645"/>
      <c r="C546" s="429"/>
      <c r="D546" s="429"/>
      <c r="E546" s="429"/>
      <c r="F546" s="429"/>
      <c r="G546" s="429"/>
      <c r="H546" s="429"/>
      <c r="I546" s="429"/>
      <c r="J546" s="429"/>
      <c r="K546" s="429"/>
      <c r="L546" s="429"/>
      <c r="M546" s="429"/>
    </row>
    <row r="547" spans="2:13" ht="15">
      <c r="B547" s="645"/>
      <c r="C547" s="429"/>
      <c r="D547" s="429"/>
      <c r="E547" s="429"/>
      <c r="F547" s="429"/>
      <c r="G547" s="429"/>
      <c r="H547" s="429"/>
      <c r="I547" s="429"/>
      <c r="J547" s="429"/>
      <c r="K547" s="429"/>
      <c r="L547" s="429"/>
      <c r="M547" s="429"/>
    </row>
    <row r="548" spans="2:13" ht="15">
      <c r="B548" s="645"/>
      <c r="C548" s="429"/>
      <c r="D548" s="429"/>
      <c r="E548" s="429"/>
      <c r="F548" s="429"/>
      <c r="G548" s="429"/>
      <c r="H548" s="429"/>
      <c r="I548" s="429"/>
      <c r="J548" s="429"/>
      <c r="K548" s="429"/>
      <c r="L548" s="429"/>
      <c r="M548" s="429"/>
    </row>
    <row r="549" spans="2:13" ht="15">
      <c r="B549" s="645"/>
      <c r="C549" s="429"/>
      <c r="D549" s="429"/>
      <c r="E549" s="429"/>
      <c r="F549" s="429"/>
      <c r="G549" s="429"/>
      <c r="H549" s="429"/>
      <c r="I549" s="429"/>
      <c r="J549" s="429"/>
      <c r="K549" s="429"/>
      <c r="L549" s="429"/>
      <c r="M549" s="429"/>
    </row>
    <row r="550" spans="2:13" ht="15">
      <c r="B550" s="645"/>
      <c r="C550" s="429"/>
      <c r="D550" s="429"/>
      <c r="E550" s="429"/>
      <c r="F550" s="429"/>
      <c r="G550" s="429"/>
      <c r="H550" s="429"/>
      <c r="I550" s="429"/>
      <c r="J550" s="429"/>
      <c r="K550" s="429"/>
      <c r="L550" s="429"/>
      <c r="M550" s="429"/>
    </row>
    <row r="551" spans="2:13" ht="15">
      <c r="B551" s="645"/>
      <c r="C551" s="429"/>
      <c r="D551" s="429"/>
      <c r="E551" s="429"/>
      <c r="F551" s="429"/>
      <c r="G551" s="429"/>
      <c r="H551" s="429"/>
      <c r="I551" s="429"/>
      <c r="J551" s="429"/>
      <c r="K551" s="429"/>
      <c r="L551" s="429"/>
      <c r="M551" s="429"/>
    </row>
    <row r="552" spans="2:13" ht="15">
      <c r="B552" s="645"/>
      <c r="C552" s="429"/>
      <c r="D552" s="429"/>
      <c r="E552" s="429"/>
      <c r="F552" s="429"/>
      <c r="G552" s="429"/>
      <c r="H552" s="429"/>
      <c r="I552" s="429"/>
      <c r="J552" s="429"/>
      <c r="K552" s="429"/>
      <c r="L552" s="429"/>
      <c r="M552" s="429"/>
    </row>
    <row r="553" spans="2:13" ht="15">
      <c r="B553" s="645"/>
      <c r="C553" s="429"/>
      <c r="D553" s="429"/>
      <c r="E553" s="429"/>
      <c r="F553" s="429"/>
      <c r="G553" s="429"/>
      <c r="H553" s="429"/>
      <c r="I553" s="429"/>
      <c r="J553" s="429"/>
      <c r="K553" s="429"/>
      <c r="L553" s="429"/>
      <c r="M553" s="429"/>
    </row>
    <row r="554" spans="2:13" ht="15">
      <c r="B554" s="645"/>
      <c r="C554" s="429"/>
      <c r="D554" s="429"/>
      <c r="E554" s="429"/>
      <c r="F554" s="429"/>
      <c r="G554" s="429"/>
      <c r="H554" s="429"/>
      <c r="I554" s="429"/>
      <c r="J554" s="429"/>
      <c r="K554" s="429"/>
      <c r="L554" s="429"/>
      <c r="M554" s="429"/>
    </row>
    <row r="555" spans="2:13" ht="15">
      <c r="B555" s="645"/>
      <c r="C555" s="429"/>
      <c r="D555" s="429"/>
      <c r="E555" s="429"/>
      <c r="F555" s="429"/>
      <c r="G555" s="429"/>
      <c r="H555" s="429"/>
      <c r="I555" s="429"/>
      <c r="J555" s="429"/>
      <c r="K555" s="429"/>
      <c r="L555" s="429"/>
      <c r="M555" s="429"/>
    </row>
    <row r="556" spans="2:13" ht="15">
      <c r="B556" s="645"/>
      <c r="C556" s="429"/>
      <c r="D556" s="429"/>
      <c r="E556" s="429"/>
      <c r="F556" s="429"/>
      <c r="G556" s="429"/>
      <c r="H556" s="429"/>
      <c r="I556" s="429"/>
      <c r="J556" s="429"/>
      <c r="K556" s="429"/>
      <c r="L556" s="429"/>
      <c r="M556" s="429"/>
    </row>
    <row r="557" spans="2:13" ht="15">
      <c r="B557" s="645"/>
      <c r="C557" s="429"/>
      <c r="D557" s="429"/>
      <c r="E557" s="429"/>
      <c r="F557" s="429"/>
      <c r="G557" s="429"/>
      <c r="H557" s="429"/>
      <c r="I557" s="429"/>
      <c r="J557" s="429"/>
      <c r="K557" s="429"/>
      <c r="L557" s="429"/>
      <c r="M557" s="429"/>
    </row>
    <row r="558" spans="2:13" ht="15">
      <c r="B558" s="645"/>
      <c r="C558" s="429"/>
      <c r="D558" s="429"/>
      <c r="E558" s="429"/>
      <c r="F558" s="429"/>
      <c r="G558" s="429"/>
      <c r="H558" s="429"/>
      <c r="I558" s="429"/>
      <c r="J558" s="429"/>
      <c r="K558" s="429"/>
      <c r="L558" s="429"/>
      <c r="M558" s="429"/>
    </row>
    <row r="559" spans="2:13" ht="15">
      <c r="B559" s="645"/>
      <c r="C559" s="429"/>
      <c r="D559" s="429"/>
      <c r="E559" s="429"/>
      <c r="F559" s="429"/>
      <c r="G559" s="429"/>
      <c r="H559" s="429"/>
      <c r="I559" s="429"/>
      <c r="J559" s="429"/>
      <c r="K559" s="429"/>
      <c r="L559" s="429"/>
      <c r="M559" s="429"/>
    </row>
    <row r="560" spans="2:13" ht="15">
      <c r="B560" s="645"/>
      <c r="C560" s="429"/>
      <c r="D560" s="429"/>
      <c r="E560" s="429"/>
      <c r="F560" s="429"/>
      <c r="G560" s="429"/>
      <c r="H560" s="429"/>
      <c r="I560" s="429"/>
      <c r="J560" s="429"/>
      <c r="K560" s="429"/>
      <c r="L560" s="429"/>
      <c r="M560" s="429"/>
    </row>
    <row r="561" spans="2:13" ht="15">
      <c r="B561" s="645"/>
      <c r="C561" s="429"/>
      <c r="D561" s="429"/>
      <c r="E561" s="429"/>
      <c r="F561" s="429"/>
      <c r="G561" s="429"/>
      <c r="H561" s="429"/>
      <c r="I561" s="429"/>
      <c r="J561" s="429"/>
      <c r="K561" s="429"/>
      <c r="L561" s="429"/>
      <c r="M561" s="429"/>
    </row>
    <row r="562" spans="2:13" ht="15">
      <c r="B562" s="645"/>
      <c r="C562" s="429"/>
      <c r="D562" s="429"/>
      <c r="E562" s="429"/>
      <c r="F562" s="429"/>
      <c r="G562" s="429"/>
      <c r="H562" s="429"/>
      <c r="I562" s="429"/>
      <c r="J562" s="429"/>
      <c r="K562" s="429"/>
      <c r="L562" s="429"/>
      <c r="M562" s="429"/>
    </row>
    <row r="563" spans="2:13" ht="15">
      <c r="B563" s="645"/>
      <c r="C563" s="429"/>
      <c r="D563" s="429"/>
      <c r="E563" s="429"/>
      <c r="F563" s="429"/>
      <c r="G563" s="429"/>
      <c r="H563" s="429"/>
      <c r="I563" s="429"/>
      <c r="J563" s="429"/>
      <c r="K563" s="429"/>
      <c r="L563" s="429"/>
      <c r="M563" s="429"/>
    </row>
    <row r="564" spans="2:13" ht="15">
      <c r="B564" s="645"/>
      <c r="C564" s="429"/>
      <c r="D564" s="429"/>
      <c r="E564" s="429"/>
      <c r="F564" s="429"/>
      <c r="G564" s="429"/>
      <c r="H564" s="429"/>
      <c r="I564" s="429"/>
      <c r="J564" s="429"/>
      <c r="K564" s="429"/>
      <c r="L564" s="429"/>
      <c r="M564" s="429"/>
    </row>
    <row r="565" spans="2:13" ht="15">
      <c r="B565" s="645"/>
      <c r="C565" s="429"/>
      <c r="D565" s="429"/>
      <c r="E565" s="429"/>
      <c r="F565" s="429"/>
      <c r="G565" s="429"/>
      <c r="H565" s="429"/>
      <c r="I565" s="429"/>
      <c r="J565" s="429"/>
      <c r="K565" s="429"/>
      <c r="L565" s="429"/>
      <c r="M565" s="429"/>
    </row>
    <row r="566" spans="2:13" ht="15">
      <c r="B566" s="645"/>
      <c r="C566" s="429"/>
      <c r="D566" s="429"/>
      <c r="E566" s="429"/>
      <c r="F566" s="429"/>
      <c r="G566" s="429"/>
      <c r="H566" s="429"/>
      <c r="I566" s="429"/>
      <c r="J566" s="429"/>
      <c r="K566" s="429"/>
      <c r="L566" s="429"/>
      <c r="M566" s="429"/>
    </row>
    <row r="567" spans="2:13" ht="15">
      <c r="B567" s="645"/>
      <c r="C567" s="429"/>
      <c r="D567" s="429"/>
      <c r="E567" s="429"/>
      <c r="F567" s="429"/>
      <c r="G567" s="429"/>
      <c r="H567" s="429"/>
      <c r="I567" s="429"/>
      <c r="J567" s="429"/>
      <c r="K567" s="429"/>
      <c r="L567" s="429"/>
      <c r="M567" s="429"/>
    </row>
    <row r="568" spans="2:13" ht="15">
      <c r="B568" s="645"/>
      <c r="C568" s="429"/>
      <c r="D568" s="429"/>
      <c r="E568" s="429"/>
      <c r="F568" s="429"/>
      <c r="G568" s="429"/>
      <c r="H568" s="429"/>
      <c r="I568" s="429"/>
      <c r="J568" s="429"/>
      <c r="K568" s="429"/>
      <c r="L568" s="429"/>
      <c r="M568" s="429"/>
    </row>
    <row r="569" spans="2:13" ht="15">
      <c r="B569" s="645"/>
      <c r="C569" s="429"/>
      <c r="D569" s="429"/>
      <c r="E569" s="429"/>
      <c r="F569" s="429"/>
      <c r="G569" s="429"/>
      <c r="H569" s="429"/>
      <c r="I569" s="429"/>
      <c r="J569" s="429"/>
      <c r="K569" s="429"/>
      <c r="L569" s="429"/>
      <c r="M569" s="429"/>
    </row>
    <row r="570" spans="2:13" ht="15">
      <c r="B570" s="645"/>
      <c r="C570" s="429"/>
      <c r="D570" s="429"/>
      <c r="E570" s="429"/>
      <c r="F570" s="429"/>
      <c r="G570" s="429"/>
      <c r="H570" s="429"/>
      <c r="I570" s="429"/>
      <c r="J570" s="429"/>
      <c r="K570" s="429"/>
      <c r="L570" s="429"/>
      <c r="M570" s="429"/>
    </row>
    <row r="571" spans="2:13" ht="15">
      <c r="B571" s="645"/>
      <c r="C571" s="429"/>
      <c r="D571" s="429"/>
      <c r="E571" s="429"/>
      <c r="F571" s="429"/>
      <c r="G571" s="429"/>
      <c r="H571" s="429"/>
      <c r="I571" s="429"/>
      <c r="J571" s="429"/>
      <c r="K571" s="429"/>
      <c r="L571" s="429"/>
      <c r="M571" s="429"/>
    </row>
    <row r="572" spans="2:13" ht="15">
      <c r="B572" s="645"/>
      <c r="C572" s="429"/>
      <c r="D572" s="429"/>
      <c r="E572" s="429"/>
      <c r="F572" s="429"/>
      <c r="G572" s="429"/>
      <c r="H572" s="429"/>
      <c r="I572" s="429"/>
      <c r="J572" s="429"/>
      <c r="K572" s="429"/>
      <c r="L572" s="429"/>
      <c r="M572" s="429"/>
    </row>
    <row r="573" spans="2:13" ht="15">
      <c r="B573" s="645"/>
      <c r="C573" s="429"/>
      <c r="D573" s="429"/>
      <c r="E573" s="429"/>
      <c r="F573" s="429"/>
      <c r="G573" s="429"/>
      <c r="H573" s="429"/>
      <c r="I573" s="429"/>
      <c r="J573" s="429"/>
      <c r="K573" s="429"/>
      <c r="L573" s="429"/>
      <c r="M573" s="429"/>
    </row>
    <row r="574" spans="2:13" ht="15">
      <c r="B574" s="645"/>
      <c r="C574" s="429"/>
      <c r="D574" s="429"/>
      <c r="E574" s="429"/>
      <c r="F574" s="429"/>
      <c r="G574" s="429"/>
      <c r="H574" s="429"/>
      <c r="I574" s="429"/>
      <c r="J574" s="429"/>
      <c r="K574" s="429"/>
      <c r="L574" s="429"/>
      <c r="M574" s="429"/>
    </row>
    <row r="575" spans="2:13" ht="15">
      <c r="B575" s="645"/>
      <c r="C575" s="429"/>
      <c r="D575" s="429"/>
      <c r="E575" s="429"/>
      <c r="F575" s="429"/>
      <c r="G575" s="429"/>
      <c r="H575" s="429"/>
      <c r="I575" s="429"/>
      <c r="J575" s="429"/>
      <c r="K575" s="429"/>
      <c r="L575" s="429"/>
      <c r="M575" s="429"/>
    </row>
    <row r="576" spans="2:13" ht="15">
      <c r="B576" s="645"/>
      <c r="C576" s="429"/>
      <c r="D576" s="429"/>
      <c r="E576" s="429"/>
      <c r="F576" s="429"/>
      <c r="G576" s="429"/>
      <c r="H576" s="429"/>
      <c r="I576" s="429"/>
      <c r="J576" s="429"/>
      <c r="K576" s="429"/>
      <c r="L576" s="429"/>
      <c r="M576" s="429"/>
    </row>
    <row r="577" spans="2:13" ht="15">
      <c r="B577" s="645"/>
      <c r="C577" s="429"/>
      <c r="D577" s="429"/>
      <c r="E577" s="429"/>
      <c r="F577" s="429"/>
      <c r="G577" s="429"/>
      <c r="H577" s="429"/>
      <c r="I577" s="429"/>
      <c r="J577" s="429"/>
      <c r="K577" s="429"/>
      <c r="L577" s="429"/>
      <c r="M577" s="429"/>
    </row>
    <row r="578" spans="2:13" ht="15">
      <c r="B578" s="645"/>
      <c r="C578" s="429"/>
      <c r="D578" s="429"/>
      <c r="E578" s="429"/>
      <c r="F578" s="429"/>
      <c r="G578" s="429"/>
      <c r="H578" s="429"/>
      <c r="I578" s="429"/>
      <c r="J578" s="429"/>
      <c r="K578" s="429"/>
      <c r="L578" s="429"/>
      <c r="M578" s="429"/>
    </row>
    <row r="579" spans="2:13" ht="15">
      <c r="B579" s="645"/>
      <c r="C579" s="429"/>
      <c r="D579" s="429"/>
      <c r="E579" s="429"/>
      <c r="F579" s="429"/>
      <c r="G579" s="429"/>
      <c r="H579" s="429"/>
      <c r="I579" s="429"/>
      <c r="J579" s="429"/>
      <c r="K579" s="429"/>
      <c r="L579" s="429"/>
      <c r="M579" s="429"/>
    </row>
    <row r="580" spans="2:13" ht="15">
      <c r="B580" s="645"/>
      <c r="C580" s="429"/>
      <c r="D580" s="429"/>
      <c r="E580" s="429"/>
      <c r="F580" s="429"/>
      <c r="G580" s="429"/>
      <c r="H580" s="429"/>
      <c r="I580" s="429"/>
      <c r="J580" s="429"/>
      <c r="K580" s="429"/>
      <c r="L580" s="429"/>
      <c r="M580" s="429"/>
    </row>
    <row r="581" spans="2:13" ht="15">
      <c r="B581" s="645"/>
      <c r="C581" s="429"/>
      <c r="D581" s="429"/>
      <c r="E581" s="429"/>
      <c r="F581" s="429"/>
      <c r="G581" s="429"/>
      <c r="H581" s="429"/>
      <c r="I581" s="429"/>
      <c r="J581" s="429"/>
      <c r="K581" s="429"/>
      <c r="L581" s="429"/>
      <c r="M581" s="429"/>
    </row>
    <row r="582" spans="2:13" ht="15">
      <c r="B582" s="645"/>
      <c r="C582" s="429"/>
      <c r="D582" s="429"/>
      <c r="E582" s="429"/>
      <c r="F582" s="429"/>
      <c r="G582" s="429"/>
      <c r="H582" s="429"/>
      <c r="I582" s="429"/>
      <c r="J582" s="429"/>
      <c r="K582" s="429"/>
      <c r="L582" s="429"/>
      <c r="M582" s="429"/>
    </row>
    <row r="583" spans="2:13" ht="15">
      <c r="B583" s="645"/>
      <c r="C583" s="429"/>
      <c r="D583" s="429"/>
      <c r="E583" s="429"/>
      <c r="F583" s="429"/>
      <c r="G583" s="429"/>
      <c r="H583" s="429"/>
      <c r="I583" s="429"/>
      <c r="J583" s="429"/>
      <c r="K583" s="429"/>
      <c r="L583" s="429"/>
      <c r="M583" s="429"/>
    </row>
    <row r="584" spans="2:13" ht="15">
      <c r="B584" s="645"/>
      <c r="C584" s="429"/>
      <c r="D584" s="429"/>
      <c r="E584" s="429"/>
      <c r="F584" s="429"/>
      <c r="G584" s="429"/>
      <c r="H584" s="429"/>
      <c r="I584" s="429"/>
      <c r="J584" s="429"/>
      <c r="K584" s="429"/>
      <c r="L584" s="429"/>
      <c r="M584" s="429"/>
    </row>
    <row r="585" spans="2:13" ht="15">
      <c r="B585" s="645"/>
      <c r="C585" s="429"/>
      <c r="D585" s="429"/>
      <c r="E585" s="429"/>
      <c r="F585" s="429"/>
      <c r="G585" s="429"/>
      <c r="H585" s="429"/>
      <c r="I585" s="429"/>
      <c r="J585" s="429"/>
      <c r="K585" s="429"/>
      <c r="L585" s="429"/>
      <c r="M585" s="429"/>
    </row>
    <row r="586" spans="2:13" ht="15">
      <c r="B586" s="645"/>
      <c r="C586" s="429"/>
      <c r="D586" s="429"/>
      <c r="E586" s="429"/>
      <c r="F586" s="429"/>
      <c r="G586" s="429"/>
      <c r="H586" s="429"/>
      <c r="I586" s="429"/>
      <c r="J586" s="429"/>
      <c r="K586" s="429"/>
      <c r="L586" s="429"/>
      <c r="M586" s="429"/>
    </row>
    <row r="587" spans="2:13" ht="15">
      <c r="B587" s="645"/>
      <c r="C587" s="429"/>
      <c r="D587" s="429"/>
      <c r="E587" s="429"/>
      <c r="F587" s="429"/>
      <c r="G587" s="429"/>
      <c r="H587" s="429"/>
      <c r="I587" s="429"/>
      <c r="J587" s="429"/>
      <c r="K587" s="429"/>
      <c r="L587" s="429"/>
      <c r="M587" s="429"/>
    </row>
    <row r="588" spans="2:13" ht="15">
      <c r="B588" s="645"/>
      <c r="C588" s="429"/>
      <c r="D588" s="429"/>
      <c r="E588" s="429"/>
      <c r="F588" s="429"/>
      <c r="G588" s="429"/>
      <c r="H588" s="429"/>
      <c r="I588" s="429"/>
      <c r="J588" s="429"/>
      <c r="K588" s="429"/>
      <c r="L588" s="429"/>
      <c r="M588" s="429"/>
    </row>
    <row r="589" spans="2:13" ht="15">
      <c r="B589" s="645"/>
      <c r="C589" s="429"/>
      <c r="D589" s="429"/>
      <c r="E589" s="429"/>
      <c r="F589" s="429"/>
      <c r="G589" s="429"/>
      <c r="H589" s="429"/>
      <c r="I589" s="429"/>
      <c r="J589" s="429"/>
      <c r="K589" s="429"/>
      <c r="L589" s="429"/>
      <c r="M589" s="429"/>
    </row>
    <row r="590" spans="2:13" ht="15">
      <c r="B590" s="645"/>
      <c r="C590" s="429"/>
      <c r="D590" s="429"/>
      <c r="E590" s="429"/>
      <c r="F590" s="429"/>
      <c r="G590" s="429"/>
      <c r="H590" s="429"/>
      <c r="I590" s="429"/>
      <c r="J590" s="429"/>
      <c r="K590" s="429"/>
      <c r="L590" s="429"/>
      <c r="M590" s="429"/>
    </row>
    <row r="591" spans="2:13" ht="15">
      <c r="B591" s="645"/>
      <c r="C591" s="429"/>
      <c r="D591" s="429"/>
      <c r="E591" s="429"/>
      <c r="F591" s="429"/>
      <c r="G591" s="429"/>
      <c r="H591" s="429"/>
      <c r="I591" s="429"/>
      <c r="J591" s="429"/>
      <c r="K591" s="429"/>
      <c r="L591" s="429"/>
      <c r="M591" s="429"/>
    </row>
    <row r="592" spans="2:13" ht="15">
      <c r="B592" s="645"/>
      <c r="C592" s="429"/>
      <c r="D592" s="429"/>
      <c r="E592" s="429"/>
      <c r="F592" s="429"/>
      <c r="G592" s="429"/>
      <c r="H592" s="429"/>
      <c r="I592" s="429"/>
      <c r="J592" s="429"/>
      <c r="K592" s="429"/>
      <c r="L592" s="429"/>
      <c r="M592" s="429"/>
    </row>
    <row r="593" spans="2:13" ht="15">
      <c r="B593" s="645"/>
      <c r="C593" s="429"/>
      <c r="D593" s="429"/>
      <c r="E593" s="429"/>
      <c r="F593" s="429"/>
      <c r="G593" s="429"/>
      <c r="H593" s="429"/>
      <c r="I593" s="429"/>
      <c r="J593" s="429"/>
      <c r="K593" s="429"/>
      <c r="L593" s="429"/>
      <c r="M593" s="429"/>
    </row>
    <row r="594" spans="2:13" ht="15">
      <c r="B594" s="645"/>
      <c r="C594" s="429"/>
      <c r="D594" s="429"/>
      <c r="E594" s="429"/>
      <c r="F594" s="429"/>
      <c r="G594" s="429"/>
      <c r="H594" s="429"/>
      <c r="I594" s="429"/>
      <c r="J594" s="429"/>
      <c r="K594" s="429"/>
      <c r="L594" s="429"/>
      <c r="M594" s="429"/>
    </row>
    <row r="595" spans="2:13" ht="15">
      <c r="B595" s="645"/>
      <c r="C595" s="429"/>
      <c r="D595" s="429"/>
      <c r="E595" s="429"/>
      <c r="F595" s="429"/>
      <c r="G595" s="429"/>
      <c r="H595" s="429"/>
      <c r="I595" s="429"/>
      <c r="J595" s="429"/>
      <c r="K595" s="429"/>
      <c r="L595" s="429"/>
      <c r="M595" s="429"/>
    </row>
    <row r="596" spans="2:13" ht="15">
      <c r="B596" s="645"/>
      <c r="C596" s="429"/>
      <c r="D596" s="429"/>
      <c r="E596" s="429"/>
      <c r="F596" s="429"/>
      <c r="G596" s="429"/>
      <c r="H596" s="429"/>
      <c r="I596" s="429"/>
      <c r="J596" s="429"/>
      <c r="K596" s="429"/>
      <c r="L596" s="429"/>
      <c r="M596" s="429"/>
    </row>
    <row r="597" spans="2:13" ht="15">
      <c r="B597" s="645"/>
      <c r="C597" s="429"/>
      <c r="D597" s="429"/>
      <c r="E597" s="429"/>
      <c r="F597" s="429"/>
      <c r="G597" s="429"/>
      <c r="H597" s="429"/>
      <c r="I597" s="429"/>
      <c r="J597" s="429"/>
      <c r="K597" s="429"/>
      <c r="L597" s="429"/>
      <c r="M597" s="429"/>
    </row>
    <row r="598" spans="2:13" ht="15">
      <c r="B598" s="645"/>
      <c r="C598" s="429"/>
      <c r="D598" s="429"/>
      <c r="E598" s="429"/>
      <c r="F598" s="429"/>
      <c r="G598" s="429"/>
      <c r="H598" s="429"/>
      <c r="I598" s="429"/>
      <c r="J598" s="429"/>
      <c r="K598" s="429"/>
      <c r="L598" s="429"/>
      <c r="M598" s="429"/>
    </row>
    <row r="599" spans="2:13" ht="15">
      <c r="B599" s="645"/>
      <c r="C599" s="429"/>
      <c r="D599" s="429"/>
      <c r="E599" s="429"/>
      <c r="F599" s="429"/>
      <c r="G599" s="429"/>
      <c r="H599" s="429"/>
      <c r="I599" s="429"/>
      <c r="J599" s="429"/>
      <c r="K599" s="429"/>
      <c r="L599" s="429"/>
      <c r="M599" s="429"/>
    </row>
    <row r="600" spans="2:13" ht="15">
      <c r="B600" s="645"/>
      <c r="C600" s="429"/>
      <c r="D600" s="429"/>
      <c r="E600" s="429"/>
      <c r="F600" s="429"/>
      <c r="G600" s="429"/>
      <c r="H600" s="429"/>
      <c r="I600" s="429"/>
      <c r="J600" s="429"/>
      <c r="K600" s="429"/>
      <c r="L600" s="429"/>
      <c r="M600" s="429"/>
    </row>
    <row r="601" spans="2:13" ht="15">
      <c r="B601" s="645"/>
      <c r="C601" s="429"/>
      <c r="D601" s="429"/>
      <c r="E601" s="429"/>
      <c r="F601" s="429"/>
      <c r="G601" s="429"/>
      <c r="H601" s="429"/>
      <c r="I601" s="429"/>
      <c r="J601" s="429"/>
      <c r="K601" s="429"/>
      <c r="L601" s="429"/>
      <c r="M601" s="429"/>
    </row>
    <row r="602" spans="2:13" ht="15">
      <c r="B602" s="645"/>
      <c r="C602" s="429"/>
      <c r="D602" s="429"/>
      <c r="E602" s="429"/>
      <c r="F602" s="429"/>
      <c r="G602" s="429"/>
      <c r="H602" s="429"/>
      <c r="I602" s="429"/>
      <c r="J602" s="429"/>
      <c r="K602" s="429"/>
      <c r="L602" s="429"/>
      <c r="M602" s="429"/>
    </row>
    <row r="603" spans="2:13" ht="15">
      <c r="B603" s="645"/>
      <c r="C603" s="429"/>
      <c r="D603" s="429"/>
      <c r="E603" s="429"/>
      <c r="F603" s="429"/>
      <c r="G603" s="429"/>
      <c r="H603" s="429"/>
      <c r="I603" s="429"/>
      <c r="J603" s="429"/>
      <c r="K603" s="429"/>
      <c r="L603" s="429"/>
      <c r="M603" s="429"/>
    </row>
    <row r="604" spans="2:13" ht="15">
      <c r="B604" s="645"/>
      <c r="C604" s="429"/>
      <c r="D604" s="429"/>
      <c r="E604" s="429"/>
      <c r="F604" s="429"/>
      <c r="G604" s="429"/>
      <c r="H604" s="429"/>
      <c r="I604" s="429"/>
      <c r="J604" s="429"/>
      <c r="K604" s="429"/>
      <c r="L604" s="429"/>
      <c r="M604" s="429"/>
    </row>
    <row r="605" spans="2:13" ht="15">
      <c r="B605" s="645"/>
      <c r="C605" s="429"/>
      <c r="D605" s="429"/>
      <c r="E605" s="429"/>
      <c r="F605" s="429"/>
      <c r="G605" s="429"/>
      <c r="H605" s="429"/>
      <c r="I605" s="429"/>
      <c r="J605" s="429"/>
      <c r="K605" s="429"/>
      <c r="L605" s="429"/>
      <c r="M605" s="429"/>
    </row>
    <row r="606" spans="2:13" ht="15">
      <c r="B606" s="645"/>
      <c r="C606" s="429"/>
      <c r="D606" s="429"/>
      <c r="E606" s="429"/>
      <c r="F606" s="429"/>
      <c r="G606" s="429"/>
      <c r="H606" s="429"/>
      <c r="I606" s="429"/>
      <c r="J606" s="429"/>
      <c r="K606" s="429"/>
      <c r="L606" s="429"/>
      <c r="M606" s="429"/>
    </row>
    <row r="607" spans="2:13" ht="15">
      <c r="B607" s="645"/>
      <c r="C607" s="429"/>
      <c r="D607" s="429"/>
      <c r="E607" s="429"/>
      <c r="F607" s="429"/>
      <c r="G607" s="429"/>
      <c r="H607" s="429"/>
      <c r="I607" s="429"/>
      <c r="J607" s="429"/>
      <c r="K607" s="429"/>
      <c r="L607" s="429"/>
      <c r="M607" s="429"/>
    </row>
    <row r="608" spans="2:13" ht="15">
      <c r="B608" s="645"/>
      <c r="C608" s="429"/>
      <c r="D608" s="429"/>
      <c r="E608" s="429"/>
      <c r="F608" s="429"/>
      <c r="G608" s="429"/>
      <c r="H608" s="429"/>
      <c r="I608" s="429"/>
      <c r="J608" s="429"/>
      <c r="K608" s="429"/>
      <c r="L608" s="429"/>
      <c r="M608" s="429"/>
    </row>
    <row r="609" spans="2:13" ht="15">
      <c r="B609" s="645"/>
      <c r="C609" s="429"/>
      <c r="D609" s="429"/>
      <c r="E609" s="429"/>
      <c r="F609" s="429"/>
      <c r="G609" s="429"/>
      <c r="H609" s="429"/>
      <c r="I609" s="429"/>
      <c r="J609" s="429"/>
      <c r="K609" s="429"/>
      <c r="L609" s="429"/>
      <c r="M609" s="429"/>
    </row>
    <row r="610" spans="2:13" ht="15">
      <c r="B610" s="645"/>
      <c r="C610" s="429"/>
      <c r="D610" s="429"/>
      <c r="E610" s="429"/>
      <c r="F610" s="429"/>
      <c r="G610" s="429"/>
      <c r="H610" s="429"/>
      <c r="I610" s="429"/>
      <c r="J610" s="429"/>
      <c r="K610" s="429"/>
      <c r="L610" s="429"/>
      <c r="M610" s="429"/>
    </row>
    <row r="611" spans="2:13" ht="15">
      <c r="B611" s="645"/>
      <c r="C611" s="429"/>
      <c r="D611" s="429"/>
      <c r="E611" s="429"/>
      <c r="F611" s="429"/>
      <c r="G611" s="429"/>
      <c r="H611" s="429"/>
      <c r="I611" s="429"/>
      <c r="J611" s="429"/>
      <c r="K611" s="429"/>
      <c r="L611" s="429"/>
      <c r="M611" s="429"/>
    </row>
    <row r="612" spans="2:13" ht="15">
      <c r="B612" s="645"/>
      <c r="C612" s="429"/>
      <c r="D612" s="429"/>
      <c r="E612" s="429"/>
      <c r="F612" s="429"/>
      <c r="G612" s="429"/>
      <c r="H612" s="429"/>
      <c r="I612" s="429"/>
      <c r="J612" s="429"/>
      <c r="K612" s="429"/>
      <c r="L612" s="429"/>
      <c r="M612" s="429"/>
    </row>
    <row r="613" spans="2:13" ht="15">
      <c r="B613" s="645"/>
      <c r="C613" s="429"/>
      <c r="D613" s="429"/>
      <c r="E613" s="429"/>
      <c r="F613" s="429"/>
      <c r="G613" s="429"/>
      <c r="H613" s="429"/>
      <c r="I613" s="429"/>
      <c r="J613" s="429"/>
      <c r="K613" s="429"/>
      <c r="L613" s="429"/>
      <c r="M613" s="429"/>
    </row>
    <row r="614" spans="2:13" ht="15">
      <c r="B614" s="645"/>
      <c r="C614" s="429"/>
      <c r="D614" s="429"/>
      <c r="E614" s="429"/>
      <c r="F614" s="429"/>
      <c r="G614" s="429"/>
      <c r="H614" s="429"/>
      <c r="I614" s="429"/>
      <c r="J614" s="429"/>
      <c r="K614" s="429"/>
      <c r="L614" s="429"/>
      <c r="M614" s="429"/>
    </row>
    <row r="615" spans="2:13" ht="15">
      <c r="B615" s="645"/>
      <c r="C615" s="429"/>
      <c r="D615" s="429"/>
      <c r="E615" s="429"/>
      <c r="F615" s="429"/>
      <c r="G615" s="429"/>
      <c r="H615" s="429"/>
      <c r="I615" s="429"/>
      <c r="J615" s="429"/>
      <c r="K615" s="429"/>
      <c r="L615" s="429"/>
      <c r="M615" s="429"/>
    </row>
    <row r="616" spans="2:13" ht="15">
      <c r="B616" s="645"/>
      <c r="C616" s="429"/>
      <c r="D616" s="429"/>
      <c r="E616" s="429"/>
      <c r="F616" s="429"/>
      <c r="G616" s="429"/>
      <c r="H616" s="429"/>
      <c r="I616" s="429"/>
      <c r="J616" s="429"/>
      <c r="K616" s="429"/>
      <c r="L616" s="429"/>
      <c r="M616" s="429"/>
    </row>
    <row r="617" spans="2:13" ht="15">
      <c r="B617" s="645"/>
      <c r="C617" s="429"/>
      <c r="D617" s="429"/>
      <c r="E617" s="429"/>
      <c r="F617" s="429"/>
      <c r="G617" s="429"/>
      <c r="H617" s="429"/>
      <c r="I617" s="429"/>
      <c r="J617" s="429"/>
      <c r="K617" s="429"/>
      <c r="L617" s="429"/>
      <c r="M617" s="429"/>
    </row>
    <row r="618" spans="2:13" ht="15">
      <c r="B618" s="645"/>
      <c r="C618" s="429"/>
      <c r="D618" s="429"/>
      <c r="E618" s="429"/>
      <c r="F618" s="429"/>
      <c r="G618" s="429"/>
      <c r="H618" s="429"/>
      <c r="I618" s="429"/>
      <c r="J618" s="429"/>
      <c r="K618" s="429"/>
      <c r="L618" s="429"/>
      <c r="M618" s="429"/>
    </row>
    <row r="619" spans="2:13" ht="15">
      <c r="B619" s="645"/>
      <c r="C619" s="429"/>
      <c r="D619" s="429"/>
      <c r="E619" s="429"/>
      <c r="F619" s="429"/>
      <c r="G619" s="429"/>
      <c r="H619" s="429"/>
      <c r="I619" s="429"/>
      <c r="J619" s="429"/>
      <c r="K619" s="429"/>
      <c r="L619" s="429"/>
      <c r="M619" s="429"/>
    </row>
    <row r="620" spans="2:13" ht="15">
      <c r="B620" s="645"/>
      <c r="C620" s="429"/>
      <c r="D620" s="429"/>
      <c r="E620" s="429"/>
      <c r="F620" s="429"/>
      <c r="G620" s="429"/>
      <c r="H620" s="429"/>
      <c r="I620" s="429"/>
      <c r="J620" s="429"/>
      <c r="K620" s="429"/>
      <c r="L620" s="429"/>
      <c r="M620" s="429"/>
    </row>
    <row r="621" spans="2:13" ht="15">
      <c r="B621" s="645"/>
      <c r="C621" s="429"/>
      <c r="D621" s="429"/>
      <c r="E621" s="429"/>
      <c r="F621" s="429"/>
      <c r="G621" s="429"/>
      <c r="H621" s="429"/>
      <c r="I621" s="429"/>
      <c r="J621" s="429"/>
      <c r="K621" s="429"/>
      <c r="L621" s="429"/>
      <c r="M621" s="429"/>
    </row>
    <row r="622" spans="2:13" ht="15">
      <c r="B622" s="645"/>
      <c r="C622" s="429"/>
      <c r="D622" s="429"/>
      <c r="E622" s="429"/>
      <c r="F622" s="429"/>
      <c r="G622" s="429"/>
      <c r="H622" s="429"/>
      <c r="I622" s="429"/>
      <c r="J622" s="429"/>
      <c r="K622" s="429"/>
      <c r="L622" s="429"/>
      <c r="M622" s="429"/>
    </row>
    <row r="623" spans="2:13" ht="15">
      <c r="B623" s="645"/>
      <c r="C623" s="429"/>
      <c r="D623" s="429"/>
      <c r="E623" s="429"/>
      <c r="F623" s="429"/>
      <c r="G623" s="429"/>
      <c r="H623" s="429"/>
      <c r="I623" s="429"/>
      <c r="J623" s="429"/>
      <c r="K623" s="429"/>
      <c r="L623" s="429"/>
      <c r="M623" s="429"/>
    </row>
    <row r="624" spans="2:13" ht="15">
      <c r="B624" s="645"/>
      <c r="C624" s="429"/>
      <c r="D624" s="429"/>
      <c r="E624" s="429"/>
      <c r="F624" s="429"/>
      <c r="G624" s="429"/>
      <c r="H624" s="429"/>
      <c r="I624" s="429"/>
      <c r="J624" s="429"/>
      <c r="K624" s="429"/>
      <c r="L624" s="429"/>
      <c r="M624" s="429"/>
    </row>
    <row r="625" spans="2:13" ht="15">
      <c r="B625" s="645"/>
      <c r="C625" s="429"/>
      <c r="D625" s="429"/>
      <c r="E625" s="429"/>
      <c r="F625" s="429"/>
      <c r="G625" s="429"/>
      <c r="H625" s="429"/>
      <c r="I625" s="429"/>
      <c r="J625" s="429"/>
      <c r="K625" s="429"/>
      <c r="L625" s="429"/>
      <c r="M625" s="429"/>
    </row>
    <row r="626" spans="2:13" ht="15">
      <c r="B626" s="645"/>
      <c r="C626" s="429"/>
      <c r="D626" s="429"/>
      <c r="E626" s="429"/>
      <c r="F626" s="429"/>
      <c r="G626" s="429"/>
      <c r="H626" s="429"/>
      <c r="I626" s="429"/>
      <c r="J626" s="429"/>
      <c r="K626" s="429"/>
      <c r="L626" s="429"/>
      <c r="M626" s="429"/>
    </row>
    <row r="627" spans="2:13" ht="15">
      <c r="B627" s="645"/>
      <c r="C627" s="429"/>
      <c r="D627" s="429"/>
      <c r="E627" s="429"/>
      <c r="F627" s="429"/>
      <c r="G627" s="429"/>
      <c r="H627" s="429"/>
      <c r="I627" s="429"/>
      <c r="J627" s="429"/>
      <c r="K627" s="429"/>
      <c r="L627" s="429"/>
      <c r="M627" s="429"/>
    </row>
    <row r="628" spans="2:13" ht="15">
      <c r="B628" s="645"/>
      <c r="C628" s="429"/>
      <c r="D628" s="429"/>
      <c r="E628" s="429"/>
      <c r="F628" s="429"/>
      <c r="G628" s="429"/>
      <c r="H628" s="429"/>
      <c r="I628" s="429"/>
      <c r="J628" s="429"/>
      <c r="K628" s="429"/>
      <c r="L628" s="429"/>
      <c r="M628" s="429"/>
    </row>
    <row r="629" spans="2:13" ht="15">
      <c r="B629" s="645"/>
      <c r="C629" s="429"/>
      <c r="D629" s="429"/>
      <c r="E629" s="429"/>
      <c r="F629" s="429"/>
      <c r="G629" s="429"/>
      <c r="H629" s="429"/>
      <c r="I629" s="429"/>
      <c r="J629" s="429"/>
      <c r="K629" s="429"/>
      <c r="L629" s="429"/>
      <c r="M629" s="429"/>
    </row>
    <row r="630" spans="2:13" ht="15">
      <c r="B630" s="645"/>
      <c r="C630" s="429"/>
      <c r="D630" s="429"/>
      <c r="E630" s="429"/>
      <c r="F630" s="429"/>
      <c r="G630" s="429"/>
      <c r="H630" s="429"/>
      <c r="I630" s="429"/>
      <c r="J630" s="429"/>
      <c r="K630" s="429"/>
      <c r="L630" s="429"/>
      <c r="M630" s="429"/>
    </row>
    <row r="631" spans="2:13" ht="15">
      <c r="B631" s="645"/>
      <c r="C631" s="429"/>
      <c r="D631" s="429"/>
      <c r="E631" s="429"/>
      <c r="F631" s="429"/>
      <c r="G631" s="429"/>
      <c r="H631" s="429"/>
      <c r="I631" s="429"/>
      <c r="J631" s="429"/>
      <c r="K631" s="429"/>
      <c r="L631" s="429"/>
      <c r="M631" s="429"/>
    </row>
    <row r="632" spans="2:13" ht="15">
      <c r="B632" s="645"/>
      <c r="C632" s="429"/>
      <c r="D632" s="429"/>
      <c r="E632" s="429"/>
      <c r="F632" s="429"/>
      <c r="G632" s="429"/>
      <c r="H632" s="429"/>
      <c r="I632" s="429"/>
      <c r="J632" s="429"/>
      <c r="K632" s="429"/>
      <c r="L632" s="429"/>
      <c r="M632" s="429"/>
    </row>
    <row r="633" spans="2:13" ht="15">
      <c r="B633" s="645"/>
      <c r="C633" s="429"/>
      <c r="D633" s="429"/>
      <c r="E633" s="429"/>
      <c r="F633" s="429"/>
      <c r="G633" s="429"/>
      <c r="H633" s="429"/>
      <c r="I633" s="429"/>
      <c r="J633" s="429"/>
      <c r="K633" s="429"/>
      <c r="L633" s="429"/>
      <c r="M633" s="429"/>
    </row>
    <row r="634" spans="2:13" ht="15">
      <c r="B634" s="645"/>
      <c r="C634" s="429"/>
      <c r="D634" s="429"/>
      <c r="E634" s="429"/>
      <c r="F634" s="429"/>
      <c r="G634" s="429"/>
      <c r="H634" s="429"/>
      <c r="I634" s="429"/>
      <c r="J634" s="429"/>
      <c r="K634" s="429"/>
      <c r="L634" s="429"/>
      <c r="M634" s="429"/>
    </row>
    <row r="635" spans="2:13" ht="15">
      <c r="B635" s="645"/>
      <c r="C635" s="429"/>
      <c r="D635" s="429"/>
      <c r="E635" s="429"/>
      <c r="F635" s="429"/>
      <c r="G635" s="429"/>
      <c r="H635" s="429"/>
      <c r="I635" s="429"/>
      <c r="J635" s="429"/>
      <c r="K635" s="429"/>
      <c r="L635" s="429"/>
      <c r="M635" s="429"/>
    </row>
    <row r="636" spans="2:13" ht="15">
      <c r="B636" s="645"/>
      <c r="C636" s="429"/>
      <c r="D636" s="429"/>
      <c r="E636" s="429"/>
      <c r="F636" s="429"/>
      <c r="G636" s="429"/>
      <c r="H636" s="429"/>
      <c r="I636" s="429"/>
      <c r="J636" s="429"/>
      <c r="K636" s="429"/>
      <c r="L636" s="429"/>
      <c r="M636" s="429"/>
    </row>
    <row r="637" spans="2:13" ht="15">
      <c r="B637" s="645"/>
      <c r="C637" s="429"/>
      <c r="D637" s="429"/>
      <c r="E637" s="429"/>
      <c r="F637" s="429"/>
      <c r="G637" s="429"/>
      <c r="H637" s="429"/>
      <c r="I637" s="429"/>
      <c r="J637" s="429"/>
      <c r="K637" s="429"/>
      <c r="L637" s="429"/>
      <c r="M637" s="429"/>
    </row>
    <row r="638" spans="2:13" ht="15">
      <c r="B638" s="645"/>
      <c r="C638" s="429"/>
      <c r="D638" s="429"/>
      <c r="E638" s="429"/>
      <c r="F638" s="429"/>
      <c r="G638" s="429"/>
      <c r="H638" s="429"/>
      <c r="I638" s="429"/>
      <c r="J638" s="429"/>
      <c r="K638" s="429"/>
      <c r="L638" s="429"/>
      <c r="M638" s="429"/>
    </row>
    <row r="639" spans="2:13" ht="15">
      <c r="B639" s="645"/>
      <c r="C639" s="429"/>
      <c r="D639" s="429"/>
      <c r="E639" s="429"/>
      <c r="F639" s="429"/>
      <c r="G639" s="429"/>
      <c r="H639" s="429"/>
      <c r="I639" s="429"/>
      <c r="J639" s="429"/>
      <c r="K639" s="429"/>
      <c r="L639" s="429"/>
      <c r="M639" s="429"/>
    </row>
    <row r="640" spans="2:13" ht="15">
      <c r="B640" s="645"/>
      <c r="C640" s="429"/>
      <c r="D640" s="429"/>
      <c r="E640" s="429"/>
      <c r="F640" s="429"/>
      <c r="G640" s="429"/>
      <c r="H640" s="429"/>
      <c r="I640" s="429"/>
      <c r="J640" s="429"/>
      <c r="K640" s="429"/>
      <c r="L640" s="429"/>
      <c r="M640" s="429"/>
    </row>
    <row r="641" spans="2:13" ht="15">
      <c r="B641" s="645"/>
      <c r="C641" s="429"/>
      <c r="D641" s="429"/>
      <c r="E641" s="429"/>
      <c r="F641" s="429"/>
      <c r="G641" s="429"/>
      <c r="H641" s="429"/>
      <c r="I641" s="429"/>
      <c r="J641" s="429"/>
      <c r="K641" s="429"/>
      <c r="L641" s="429"/>
      <c r="M641" s="429"/>
    </row>
    <row r="642" spans="2:13" ht="15">
      <c r="B642" s="645"/>
      <c r="C642" s="429"/>
      <c r="D642" s="429"/>
      <c r="E642" s="429"/>
      <c r="F642" s="429"/>
      <c r="G642" s="429"/>
      <c r="H642" s="429"/>
      <c r="I642" s="429"/>
      <c r="J642" s="429"/>
      <c r="K642" s="429"/>
      <c r="L642" s="429"/>
      <c r="M642" s="429"/>
    </row>
    <row r="643" spans="2:13" ht="15">
      <c r="B643" s="645"/>
      <c r="C643" s="429"/>
      <c r="D643" s="429"/>
      <c r="E643" s="429"/>
      <c r="F643" s="429"/>
      <c r="G643" s="429"/>
      <c r="H643" s="429"/>
      <c r="I643" s="429"/>
      <c r="J643" s="429"/>
      <c r="K643" s="429"/>
      <c r="L643" s="429"/>
      <c r="M643" s="429"/>
    </row>
    <row r="644" spans="2:13" ht="15">
      <c r="B644" s="645"/>
      <c r="C644" s="429"/>
      <c r="D644" s="429"/>
      <c r="E644" s="429"/>
      <c r="F644" s="429"/>
      <c r="G644" s="429"/>
      <c r="H644" s="429"/>
      <c r="I644" s="429"/>
      <c r="J644" s="429"/>
      <c r="K644" s="429"/>
      <c r="L644" s="429"/>
      <c r="M644" s="429"/>
    </row>
    <row r="645" spans="2:13" ht="15">
      <c r="B645" s="645"/>
      <c r="C645" s="429"/>
      <c r="D645" s="429"/>
      <c r="E645" s="429"/>
      <c r="F645" s="429"/>
      <c r="G645" s="429"/>
      <c r="H645" s="429"/>
      <c r="I645" s="429"/>
      <c r="J645" s="429"/>
      <c r="K645" s="429"/>
      <c r="L645" s="429"/>
      <c r="M645" s="429"/>
    </row>
    <row r="646" spans="2:13" ht="15">
      <c r="B646" s="645"/>
      <c r="C646" s="429"/>
      <c r="D646" s="429"/>
      <c r="E646" s="429"/>
      <c r="F646" s="429"/>
      <c r="G646" s="429"/>
      <c r="H646" s="429"/>
      <c r="I646" s="429"/>
      <c r="J646" s="429"/>
      <c r="K646" s="429"/>
      <c r="L646" s="429"/>
      <c r="M646" s="429"/>
    </row>
    <row r="647" spans="2:13" ht="15">
      <c r="B647" s="645"/>
      <c r="C647" s="429"/>
      <c r="D647" s="429"/>
      <c r="E647" s="429"/>
      <c r="F647" s="429"/>
      <c r="G647" s="429"/>
      <c r="H647" s="429"/>
      <c r="I647" s="429"/>
      <c r="J647" s="429"/>
      <c r="K647" s="429"/>
      <c r="L647" s="429"/>
      <c r="M647" s="429"/>
    </row>
    <row r="648" spans="2:13" ht="15">
      <c r="B648" s="645"/>
      <c r="C648" s="429"/>
      <c r="D648" s="429"/>
      <c r="E648" s="429"/>
      <c r="F648" s="429"/>
      <c r="G648" s="429"/>
      <c r="H648" s="429"/>
      <c r="I648" s="429"/>
      <c r="J648" s="429"/>
      <c r="K648" s="429"/>
      <c r="L648" s="429"/>
      <c r="M648" s="429"/>
    </row>
    <row r="649" spans="2:13" ht="15">
      <c r="B649" s="645"/>
      <c r="C649" s="429"/>
      <c r="D649" s="429"/>
      <c r="E649" s="429"/>
      <c r="F649" s="429"/>
      <c r="G649" s="429"/>
      <c r="H649" s="429"/>
      <c r="I649" s="429"/>
      <c r="J649" s="429"/>
      <c r="K649" s="429"/>
      <c r="L649" s="429"/>
      <c r="M649" s="429"/>
    </row>
    <row r="650" spans="2:13" ht="15">
      <c r="B650" s="645"/>
      <c r="C650" s="429"/>
      <c r="D650" s="429"/>
      <c r="E650" s="429"/>
      <c r="F650" s="429"/>
      <c r="G650" s="429"/>
      <c r="H650" s="429"/>
      <c r="I650" s="429"/>
      <c r="J650" s="429"/>
      <c r="K650" s="429"/>
      <c r="L650" s="429"/>
      <c r="M650" s="429"/>
    </row>
    <row r="651" spans="2:13" ht="15">
      <c r="B651" s="645"/>
      <c r="C651" s="429"/>
      <c r="D651" s="429"/>
      <c r="E651" s="429"/>
      <c r="F651" s="429"/>
      <c r="G651" s="429"/>
      <c r="H651" s="429"/>
      <c r="I651" s="429"/>
      <c r="J651" s="429"/>
      <c r="K651" s="429"/>
      <c r="L651" s="429"/>
      <c r="M651" s="429"/>
    </row>
    <row r="652" spans="2:13" ht="15">
      <c r="B652" s="645"/>
      <c r="C652" s="429"/>
      <c r="D652" s="429"/>
      <c r="E652" s="429"/>
      <c r="F652" s="429"/>
      <c r="G652" s="429"/>
      <c r="H652" s="429"/>
      <c r="I652" s="429"/>
      <c r="J652" s="429"/>
      <c r="K652" s="429"/>
      <c r="L652" s="429"/>
      <c r="M652" s="429"/>
    </row>
    <row r="653" spans="2:13" ht="15">
      <c r="B653" s="645"/>
      <c r="C653" s="429"/>
      <c r="D653" s="429"/>
      <c r="E653" s="429"/>
      <c r="F653" s="429"/>
      <c r="G653" s="429"/>
      <c r="H653" s="429"/>
      <c r="I653" s="429"/>
      <c r="J653" s="429"/>
      <c r="K653" s="429"/>
      <c r="L653" s="429"/>
      <c r="M653" s="429"/>
    </row>
    <row r="654" spans="2:13" ht="15">
      <c r="B654" s="645"/>
      <c r="C654" s="429"/>
      <c r="D654" s="429"/>
      <c r="E654" s="429"/>
      <c r="F654" s="429"/>
      <c r="G654" s="429"/>
      <c r="H654" s="429"/>
      <c r="I654" s="429"/>
      <c r="J654" s="429"/>
      <c r="K654" s="429"/>
      <c r="L654" s="429"/>
      <c r="M654" s="429"/>
    </row>
    <row r="655" spans="2:13" ht="15">
      <c r="B655" s="645"/>
      <c r="C655" s="429"/>
      <c r="D655" s="429"/>
      <c r="E655" s="429"/>
      <c r="F655" s="429"/>
      <c r="G655" s="429"/>
      <c r="H655" s="429"/>
      <c r="I655" s="429"/>
      <c r="J655" s="429"/>
      <c r="K655" s="429"/>
      <c r="L655" s="429"/>
      <c r="M655" s="429"/>
    </row>
    <row r="656" spans="2:13" ht="15">
      <c r="B656" s="645"/>
      <c r="C656" s="429"/>
      <c r="D656" s="429"/>
      <c r="E656" s="429"/>
      <c r="F656" s="429"/>
      <c r="G656" s="429"/>
      <c r="H656" s="429"/>
      <c r="I656" s="429"/>
      <c r="J656" s="429"/>
      <c r="K656" s="429"/>
      <c r="L656" s="429"/>
      <c r="M656" s="429"/>
    </row>
    <row r="657" spans="2:13" ht="15">
      <c r="B657" s="645"/>
      <c r="C657" s="429"/>
      <c r="D657" s="429"/>
      <c r="E657" s="429"/>
      <c r="F657" s="429"/>
      <c r="G657" s="429"/>
      <c r="H657" s="429"/>
      <c r="I657" s="429"/>
      <c r="J657" s="429"/>
      <c r="K657" s="429"/>
      <c r="L657" s="429"/>
      <c r="M657" s="429"/>
    </row>
    <row r="658" spans="2:13" ht="15">
      <c r="B658" s="645"/>
      <c r="C658" s="429"/>
      <c r="D658" s="429"/>
      <c r="E658" s="429"/>
      <c r="F658" s="429"/>
      <c r="G658" s="429"/>
      <c r="H658" s="429"/>
      <c r="I658" s="429"/>
      <c r="J658" s="429"/>
      <c r="K658" s="429"/>
      <c r="L658" s="429"/>
      <c r="M658" s="429"/>
    </row>
    <row r="659" spans="2:13" ht="15">
      <c r="B659" s="645"/>
      <c r="C659" s="429"/>
      <c r="D659" s="429"/>
      <c r="E659" s="429"/>
      <c r="F659" s="429"/>
      <c r="G659" s="429"/>
      <c r="H659" s="429"/>
      <c r="I659" s="429"/>
      <c r="J659" s="429"/>
      <c r="K659" s="429"/>
      <c r="L659" s="429"/>
      <c r="M659" s="429"/>
    </row>
    <row r="660" spans="2:13" ht="15">
      <c r="B660" s="645"/>
      <c r="C660" s="429"/>
      <c r="D660" s="429"/>
      <c r="E660" s="429"/>
      <c r="F660" s="429"/>
      <c r="G660" s="429"/>
      <c r="H660" s="429"/>
      <c r="I660" s="429"/>
      <c r="J660" s="429"/>
      <c r="K660" s="429"/>
      <c r="L660" s="429"/>
      <c r="M660" s="429"/>
    </row>
    <row r="661" spans="2:13" ht="15">
      <c r="B661" s="645"/>
      <c r="C661" s="429"/>
      <c r="D661" s="429"/>
      <c r="E661" s="429"/>
      <c r="F661" s="429"/>
      <c r="G661" s="429"/>
      <c r="H661" s="429"/>
      <c r="I661" s="429"/>
      <c r="J661" s="429"/>
      <c r="K661" s="429"/>
      <c r="L661" s="429"/>
      <c r="M661" s="429"/>
    </row>
    <row r="662" spans="2:13" ht="15">
      <c r="B662" s="645"/>
      <c r="C662" s="429"/>
      <c r="D662" s="429"/>
      <c r="E662" s="429"/>
      <c r="F662" s="429"/>
      <c r="G662" s="429"/>
      <c r="H662" s="429"/>
      <c r="I662" s="429"/>
      <c r="J662" s="429"/>
      <c r="K662" s="429"/>
      <c r="L662" s="429"/>
      <c r="M662" s="429"/>
    </row>
    <row r="663" spans="2:13" ht="15">
      <c r="B663" s="645"/>
      <c r="C663" s="429"/>
      <c r="D663" s="429"/>
      <c r="E663" s="429"/>
      <c r="F663" s="429"/>
      <c r="G663" s="429"/>
      <c r="H663" s="429"/>
      <c r="I663" s="429"/>
      <c r="J663" s="429"/>
      <c r="K663" s="429"/>
      <c r="L663" s="429"/>
      <c r="M663" s="429"/>
    </row>
    <row r="664" spans="2:13" ht="15">
      <c r="B664" s="645"/>
      <c r="C664" s="429"/>
      <c r="D664" s="429"/>
      <c r="E664" s="429"/>
      <c r="F664" s="429"/>
      <c r="G664" s="429"/>
      <c r="H664" s="429"/>
      <c r="I664" s="429"/>
      <c r="J664" s="429"/>
      <c r="K664" s="429"/>
      <c r="L664" s="429"/>
      <c r="M664" s="429"/>
    </row>
    <row r="665" spans="2:13" ht="15">
      <c r="B665" s="645"/>
      <c r="C665" s="429"/>
      <c r="D665" s="429"/>
      <c r="E665" s="429"/>
      <c r="F665" s="429"/>
      <c r="G665" s="429"/>
      <c r="H665" s="429"/>
      <c r="I665" s="429"/>
      <c r="J665" s="429"/>
      <c r="K665" s="429"/>
      <c r="L665" s="429"/>
      <c r="M665" s="429"/>
    </row>
    <row r="666" spans="2:13" ht="15">
      <c r="B666" s="645"/>
      <c r="C666" s="429"/>
      <c r="D666" s="429"/>
      <c r="E666" s="429"/>
      <c r="F666" s="429"/>
      <c r="G666" s="429"/>
      <c r="H666" s="429"/>
      <c r="I666" s="429"/>
      <c r="J666" s="429"/>
      <c r="K666" s="429"/>
      <c r="L666" s="429"/>
      <c r="M666" s="429"/>
    </row>
    <row r="667" spans="2:13" ht="15">
      <c r="B667" s="645"/>
      <c r="C667" s="429"/>
      <c r="D667" s="429"/>
      <c r="E667" s="429"/>
      <c r="F667" s="429"/>
      <c r="G667" s="429"/>
      <c r="H667" s="429"/>
      <c r="I667" s="429"/>
      <c r="J667" s="429"/>
      <c r="K667" s="429"/>
      <c r="L667" s="429"/>
      <c r="M667" s="429"/>
    </row>
    <row r="668" spans="2:13" ht="15">
      <c r="B668" s="645"/>
      <c r="C668" s="429"/>
      <c r="D668" s="429"/>
      <c r="E668" s="429"/>
      <c r="F668" s="429"/>
      <c r="G668" s="429"/>
      <c r="H668" s="429"/>
      <c r="I668" s="429"/>
      <c r="J668" s="429"/>
      <c r="K668" s="429"/>
      <c r="L668" s="429"/>
      <c r="M668" s="429"/>
    </row>
    <row r="669" spans="2:13" ht="15">
      <c r="B669" s="645"/>
      <c r="C669" s="429"/>
      <c r="D669" s="429"/>
      <c r="E669" s="429"/>
      <c r="F669" s="429"/>
      <c r="G669" s="429"/>
      <c r="H669" s="429"/>
      <c r="I669" s="429"/>
      <c r="J669" s="429"/>
      <c r="K669" s="429"/>
      <c r="L669" s="429"/>
      <c r="M669" s="429"/>
    </row>
    <row r="670" spans="2:13" ht="15">
      <c r="B670" s="645"/>
      <c r="C670" s="429"/>
      <c r="D670" s="429"/>
      <c r="E670" s="429"/>
      <c r="F670" s="429"/>
      <c r="G670" s="429"/>
      <c r="H670" s="429"/>
      <c r="I670" s="429"/>
      <c r="J670" s="429"/>
      <c r="K670" s="429"/>
      <c r="L670" s="429"/>
      <c r="M670" s="429"/>
    </row>
    <row r="671" spans="2:13" ht="15">
      <c r="B671" s="645"/>
      <c r="C671" s="429"/>
      <c r="D671" s="429"/>
      <c r="E671" s="429"/>
      <c r="F671" s="429"/>
      <c r="G671" s="429"/>
      <c r="H671" s="429"/>
      <c r="I671" s="429"/>
      <c r="J671" s="429"/>
      <c r="K671" s="429"/>
      <c r="L671" s="429"/>
      <c r="M671" s="429"/>
    </row>
    <row r="672" spans="2:13" ht="15">
      <c r="B672" s="645"/>
      <c r="C672" s="429"/>
      <c r="D672" s="429"/>
      <c r="E672" s="429"/>
      <c r="F672" s="429"/>
      <c r="G672" s="429"/>
      <c r="H672" s="429"/>
      <c r="I672" s="429"/>
      <c r="J672" s="429"/>
      <c r="K672" s="429"/>
      <c r="L672" s="429"/>
      <c r="M672" s="429"/>
    </row>
    <row r="673" spans="2:13" ht="15">
      <c r="B673" s="645"/>
      <c r="C673" s="429"/>
      <c r="D673" s="429"/>
      <c r="E673" s="429"/>
      <c r="F673" s="429"/>
      <c r="G673" s="429"/>
      <c r="H673" s="429"/>
      <c r="I673" s="429"/>
      <c r="J673" s="429"/>
      <c r="K673" s="429"/>
      <c r="L673" s="429"/>
      <c r="M673" s="429"/>
    </row>
    <row r="674" spans="2:13" ht="15">
      <c r="B674" s="645"/>
      <c r="C674" s="429"/>
      <c r="D674" s="429"/>
      <c r="E674" s="429"/>
      <c r="F674" s="429"/>
      <c r="G674" s="429"/>
      <c r="H674" s="429"/>
      <c r="I674" s="429"/>
      <c r="J674" s="429"/>
      <c r="K674" s="429"/>
      <c r="L674" s="429"/>
      <c r="M674" s="429"/>
    </row>
    <row r="675" spans="2:13" ht="15">
      <c r="B675" s="645"/>
      <c r="C675" s="429"/>
      <c r="D675" s="429"/>
      <c r="E675" s="429"/>
      <c r="F675" s="429"/>
      <c r="G675" s="429"/>
      <c r="H675" s="429"/>
      <c r="I675" s="429"/>
      <c r="J675" s="429"/>
      <c r="K675" s="429"/>
      <c r="L675" s="429"/>
      <c r="M675" s="429"/>
    </row>
    <row r="676" spans="2:13" ht="15">
      <c r="B676" s="645"/>
      <c r="C676" s="429"/>
      <c r="D676" s="429"/>
      <c r="E676" s="429"/>
      <c r="F676" s="429"/>
      <c r="G676" s="429"/>
      <c r="H676" s="429"/>
      <c r="I676" s="429"/>
      <c r="J676" s="429"/>
      <c r="K676" s="429"/>
      <c r="L676" s="429"/>
      <c r="M676" s="429"/>
    </row>
    <row r="677" spans="2:13" ht="15">
      <c r="B677" s="645"/>
      <c r="C677" s="429"/>
      <c r="D677" s="429"/>
      <c r="E677" s="429"/>
      <c r="F677" s="429"/>
      <c r="G677" s="429"/>
      <c r="H677" s="429"/>
      <c r="I677" s="429"/>
      <c r="J677" s="429"/>
      <c r="K677" s="429"/>
      <c r="L677" s="429"/>
      <c r="M677" s="429"/>
    </row>
    <row r="678" spans="2:13" ht="15">
      <c r="B678" s="645"/>
      <c r="C678" s="429"/>
      <c r="D678" s="429"/>
      <c r="E678" s="429"/>
      <c r="F678" s="429"/>
      <c r="G678" s="429"/>
      <c r="H678" s="429"/>
      <c r="I678" s="429"/>
      <c r="J678" s="429"/>
      <c r="K678" s="429"/>
      <c r="L678" s="429"/>
      <c r="M678" s="429"/>
    </row>
    <row r="679" spans="2:13" ht="15">
      <c r="B679" s="645"/>
      <c r="C679" s="429"/>
      <c r="D679" s="429"/>
      <c r="E679" s="429"/>
      <c r="F679" s="429"/>
      <c r="G679" s="429"/>
      <c r="H679" s="429"/>
      <c r="I679" s="429"/>
      <c r="J679" s="429"/>
      <c r="K679" s="429"/>
      <c r="L679" s="429"/>
      <c r="M679" s="429"/>
    </row>
    <row r="680" spans="2:13" ht="15">
      <c r="B680" s="645"/>
      <c r="C680" s="429"/>
      <c r="D680" s="429"/>
      <c r="E680" s="429"/>
      <c r="F680" s="429"/>
      <c r="G680" s="429"/>
      <c r="H680" s="429"/>
      <c r="I680" s="429"/>
      <c r="J680" s="429"/>
      <c r="K680" s="429"/>
      <c r="L680" s="429"/>
      <c r="M680" s="429"/>
    </row>
    <row r="681" spans="2:13" ht="15">
      <c r="B681" s="645"/>
      <c r="C681" s="429"/>
      <c r="D681" s="429"/>
      <c r="E681" s="429"/>
      <c r="F681" s="429"/>
      <c r="G681" s="429"/>
      <c r="H681" s="429"/>
      <c r="I681" s="429"/>
      <c r="J681" s="429"/>
      <c r="K681" s="429"/>
      <c r="L681" s="429"/>
      <c r="M681" s="429"/>
    </row>
    <row r="682" spans="2:13" ht="15">
      <c r="B682" s="645"/>
      <c r="C682" s="429"/>
      <c r="D682" s="429"/>
      <c r="E682" s="429"/>
      <c r="F682" s="429"/>
      <c r="G682" s="429"/>
      <c r="H682" s="429"/>
      <c r="I682" s="429"/>
      <c r="J682" s="429"/>
      <c r="K682" s="429"/>
      <c r="L682" s="429"/>
      <c r="M682" s="429"/>
    </row>
    <row r="683" spans="2:13" ht="15">
      <c r="B683" s="645"/>
      <c r="C683" s="429"/>
      <c r="D683" s="429"/>
      <c r="E683" s="429"/>
      <c r="F683" s="429"/>
      <c r="G683" s="429"/>
      <c r="H683" s="429"/>
      <c r="I683" s="429"/>
      <c r="J683" s="429"/>
      <c r="K683" s="429"/>
      <c r="L683" s="429"/>
      <c r="M683" s="429"/>
    </row>
    <row r="684" spans="2:13" ht="15">
      <c r="B684" s="645"/>
      <c r="C684" s="429"/>
      <c r="D684" s="429"/>
      <c r="E684" s="429"/>
      <c r="F684" s="429"/>
      <c r="G684" s="429"/>
      <c r="H684" s="429"/>
      <c r="I684" s="429"/>
      <c r="J684" s="429"/>
      <c r="K684" s="429"/>
      <c r="L684" s="429"/>
      <c r="M684" s="429"/>
    </row>
    <row r="685" spans="2:13" ht="15">
      <c r="B685" s="645"/>
      <c r="C685" s="429"/>
      <c r="D685" s="429"/>
      <c r="E685" s="429"/>
      <c r="F685" s="429"/>
      <c r="G685" s="429"/>
      <c r="H685" s="429"/>
      <c r="I685" s="429"/>
      <c r="J685" s="429"/>
      <c r="K685" s="429"/>
      <c r="L685" s="429"/>
      <c r="M685" s="429"/>
    </row>
    <row r="686" spans="2:13" ht="15">
      <c r="B686" s="645"/>
      <c r="C686" s="429"/>
      <c r="D686" s="429"/>
      <c r="E686" s="429"/>
      <c r="F686" s="429"/>
      <c r="G686" s="429"/>
      <c r="H686" s="429"/>
      <c r="I686" s="429"/>
      <c r="J686" s="429"/>
      <c r="K686" s="429"/>
      <c r="L686" s="429"/>
      <c r="M686" s="429"/>
    </row>
    <row r="687" spans="2:13" ht="15">
      <c r="B687" s="645"/>
      <c r="C687" s="429"/>
      <c r="D687" s="429"/>
      <c r="E687" s="429"/>
      <c r="F687" s="429"/>
      <c r="G687" s="429"/>
      <c r="H687" s="429"/>
      <c r="I687" s="429"/>
      <c r="J687" s="429"/>
      <c r="K687" s="429"/>
      <c r="L687" s="429"/>
      <c r="M687" s="429"/>
    </row>
    <row r="688" spans="2:13" ht="15">
      <c r="B688" s="645"/>
      <c r="C688" s="429"/>
      <c r="D688" s="429"/>
      <c r="E688" s="429"/>
      <c r="F688" s="429"/>
      <c r="G688" s="429"/>
      <c r="H688" s="429"/>
      <c r="I688" s="429"/>
      <c r="J688" s="429"/>
      <c r="K688" s="429"/>
      <c r="L688" s="429"/>
      <c r="M688" s="429"/>
    </row>
    <row r="689" spans="2:13" ht="15">
      <c r="B689" s="645"/>
      <c r="C689" s="429"/>
      <c r="D689" s="429"/>
      <c r="E689" s="429"/>
      <c r="F689" s="429"/>
      <c r="G689" s="429"/>
      <c r="H689" s="429"/>
      <c r="I689" s="429"/>
      <c r="J689" s="429"/>
      <c r="K689" s="429"/>
      <c r="L689" s="429"/>
      <c r="M689" s="429"/>
    </row>
    <row r="690" spans="2:13" ht="15">
      <c r="B690" s="645"/>
      <c r="C690" s="429"/>
      <c r="D690" s="429"/>
      <c r="E690" s="429"/>
      <c r="F690" s="429"/>
      <c r="G690" s="429"/>
      <c r="H690" s="429"/>
      <c r="I690" s="429"/>
      <c r="J690" s="429"/>
      <c r="K690" s="429"/>
      <c r="L690" s="429"/>
      <c r="M690" s="429"/>
    </row>
    <row r="691" spans="2:13" ht="15">
      <c r="B691" s="645"/>
      <c r="C691" s="429"/>
      <c r="D691" s="429"/>
      <c r="E691" s="429"/>
      <c r="F691" s="429"/>
      <c r="G691" s="429"/>
      <c r="H691" s="429"/>
      <c r="I691" s="429"/>
      <c r="J691" s="429"/>
      <c r="K691" s="429"/>
      <c r="L691" s="429"/>
      <c r="M691" s="429"/>
    </row>
    <row r="692" spans="2:13" ht="15">
      <c r="B692" s="645"/>
      <c r="C692" s="429"/>
      <c r="D692" s="429"/>
      <c r="E692" s="429"/>
      <c r="F692" s="429"/>
      <c r="G692" s="429"/>
      <c r="H692" s="429"/>
      <c r="I692" s="429"/>
      <c r="J692" s="429"/>
      <c r="K692" s="429"/>
      <c r="L692" s="429"/>
      <c r="M692" s="429"/>
    </row>
    <row r="693" spans="2:13" ht="15">
      <c r="B693" s="645"/>
      <c r="C693" s="429"/>
      <c r="D693" s="429"/>
      <c r="E693" s="429"/>
      <c r="F693" s="429"/>
      <c r="G693" s="429"/>
      <c r="H693" s="429"/>
      <c r="I693" s="429"/>
      <c r="J693" s="429"/>
      <c r="K693" s="429"/>
      <c r="L693" s="429"/>
      <c r="M693" s="429"/>
    </row>
    <row r="694" spans="2:13" ht="15">
      <c r="B694" s="645"/>
      <c r="C694" s="429"/>
      <c r="D694" s="429"/>
      <c r="E694" s="429"/>
      <c r="F694" s="429"/>
      <c r="G694" s="429"/>
      <c r="H694" s="429"/>
      <c r="I694" s="429"/>
      <c r="J694" s="429"/>
      <c r="K694" s="429"/>
      <c r="L694" s="429"/>
      <c r="M694" s="429"/>
    </row>
    <row r="695" spans="2:13" ht="15">
      <c r="B695" s="645"/>
      <c r="C695" s="429"/>
      <c r="D695" s="429"/>
      <c r="E695" s="429"/>
      <c r="F695" s="429"/>
      <c r="G695" s="429"/>
      <c r="H695" s="429"/>
      <c r="I695" s="429"/>
      <c r="J695" s="429"/>
      <c r="K695" s="429"/>
      <c r="L695" s="429"/>
      <c r="M695" s="429"/>
    </row>
    <row r="696" spans="2:13" ht="15">
      <c r="B696" s="645"/>
      <c r="C696" s="429"/>
      <c r="D696" s="429"/>
      <c r="E696" s="429"/>
      <c r="F696" s="429"/>
      <c r="G696" s="429"/>
      <c r="H696" s="429"/>
      <c r="I696" s="429"/>
      <c r="J696" s="429"/>
      <c r="K696" s="429"/>
      <c r="L696" s="429"/>
      <c r="M696" s="429"/>
    </row>
    <row r="697" spans="2:13" ht="15">
      <c r="B697" s="645"/>
      <c r="C697" s="429"/>
      <c r="D697" s="429"/>
      <c r="E697" s="429"/>
      <c r="F697" s="429"/>
      <c r="G697" s="429"/>
      <c r="H697" s="429"/>
      <c r="I697" s="429"/>
      <c r="J697" s="429"/>
      <c r="K697" s="429"/>
      <c r="L697" s="429"/>
      <c r="M697" s="429"/>
    </row>
    <row r="698" spans="2:13" ht="15">
      <c r="B698" s="645"/>
      <c r="C698" s="429"/>
      <c r="D698" s="429"/>
      <c r="E698" s="429"/>
      <c r="F698" s="429"/>
      <c r="G698" s="429"/>
      <c r="H698" s="429"/>
      <c r="I698" s="429"/>
      <c r="J698" s="429"/>
      <c r="K698" s="429"/>
      <c r="L698" s="429"/>
      <c r="M698" s="429"/>
    </row>
    <row r="699" spans="2:13" ht="15">
      <c r="B699" s="645"/>
      <c r="C699" s="429"/>
      <c r="D699" s="429"/>
      <c r="E699" s="429"/>
      <c r="F699" s="429"/>
      <c r="G699" s="429"/>
      <c r="H699" s="429"/>
      <c r="I699" s="429"/>
      <c r="J699" s="429"/>
      <c r="K699" s="429"/>
      <c r="L699" s="429"/>
      <c r="M699" s="429"/>
    </row>
    <row r="700" spans="2:13" ht="15">
      <c r="B700" s="645"/>
      <c r="C700" s="429"/>
      <c r="D700" s="429"/>
      <c r="E700" s="429"/>
      <c r="F700" s="429"/>
      <c r="G700" s="429"/>
      <c r="H700" s="429"/>
      <c r="I700" s="429"/>
      <c r="J700" s="429"/>
      <c r="K700" s="429"/>
      <c r="L700" s="429"/>
      <c r="M700" s="429"/>
    </row>
    <row r="701" spans="2:13" ht="15">
      <c r="B701" s="645"/>
      <c r="C701" s="429"/>
      <c r="D701" s="429"/>
      <c r="E701" s="429"/>
      <c r="F701" s="429"/>
      <c r="G701" s="429"/>
      <c r="H701" s="429"/>
      <c r="I701" s="429"/>
      <c r="J701" s="429"/>
      <c r="K701" s="429"/>
      <c r="L701" s="429"/>
      <c r="M701" s="429"/>
    </row>
    <row r="702" spans="2:13" ht="15">
      <c r="B702" s="645"/>
      <c r="C702" s="429"/>
      <c r="D702" s="429"/>
      <c r="E702" s="429"/>
      <c r="F702" s="429"/>
      <c r="G702" s="429"/>
      <c r="H702" s="429"/>
      <c r="I702" s="429"/>
      <c r="J702" s="429"/>
      <c r="K702" s="429"/>
      <c r="L702" s="429"/>
      <c r="M702" s="429"/>
    </row>
    <row r="703" spans="2:13" ht="15">
      <c r="B703" s="645"/>
      <c r="C703" s="429"/>
      <c r="D703" s="429"/>
      <c r="E703" s="429"/>
      <c r="F703" s="429"/>
      <c r="G703" s="429"/>
      <c r="H703" s="429"/>
      <c r="I703" s="429"/>
      <c r="J703" s="429"/>
      <c r="K703" s="429"/>
      <c r="L703" s="429"/>
      <c r="M703" s="429"/>
    </row>
    <row r="704" spans="2:13" ht="15">
      <c r="B704" s="645"/>
      <c r="C704" s="429"/>
      <c r="D704" s="429"/>
      <c r="E704" s="429"/>
      <c r="F704" s="429"/>
      <c r="G704" s="429"/>
      <c r="H704" s="429"/>
      <c r="I704" s="429"/>
      <c r="J704" s="429"/>
      <c r="K704" s="429"/>
      <c r="L704" s="429"/>
      <c r="M704" s="429"/>
    </row>
    <row r="705" spans="2:13" ht="15">
      <c r="B705" s="645"/>
      <c r="C705" s="429"/>
      <c r="D705" s="429"/>
      <c r="E705" s="429"/>
      <c r="F705" s="429"/>
      <c r="G705" s="429"/>
      <c r="H705" s="429"/>
      <c r="I705" s="429"/>
      <c r="J705" s="429"/>
      <c r="K705" s="429"/>
      <c r="L705" s="429"/>
      <c r="M705" s="429"/>
    </row>
    <row r="706" spans="2:13" ht="15">
      <c r="B706" s="645"/>
      <c r="C706" s="429"/>
      <c r="D706" s="429"/>
      <c r="E706" s="429"/>
      <c r="F706" s="429"/>
      <c r="G706" s="429"/>
      <c r="H706" s="429"/>
      <c r="I706" s="429"/>
      <c r="J706" s="429"/>
      <c r="K706" s="429"/>
      <c r="L706" s="429"/>
      <c r="M706" s="429"/>
    </row>
    <row r="707" spans="2:13" ht="15">
      <c r="B707" s="645"/>
      <c r="C707" s="429"/>
      <c r="D707" s="429"/>
      <c r="E707" s="429"/>
      <c r="F707" s="429"/>
      <c r="G707" s="429"/>
      <c r="H707" s="429"/>
      <c r="I707" s="429"/>
      <c r="J707" s="429"/>
      <c r="K707" s="429"/>
      <c r="L707" s="429"/>
      <c r="M707" s="429"/>
    </row>
    <row r="708" spans="2:13" ht="15">
      <c r="B708" s="645"/>
      <c r="C708" s="429"/>
      <c r="D708" s="429"/>
      <c r="E708" s="429"/>
      <c r="F708" s="429"/>
      <c r="G708" s="429"/>
      <c r="H708" s="429"/>
      <c r="I708" s="429"/>
      <c r="J708" s="429"/>
      <c r="K708" s="429"/>
      <c r="L708" s="429"/>
      <c r="M708" s="429"/>
    </row>
    <row r="709" spans="2:13" ht="15">
      <c r="B709" s="645"/>
      <c r="C709" s="429"/>
      <c r="D709" s="429"/>
      <c r="E709" s="429"/>
      <c r="F709" s="429"/>
      <c r="G709" s="429"/>
      <c r="H709" s="429"/>
      <c r="I709" s="429"/>
      <c r="J709" s="429"/>
      <c r="K709" s="429"/>
      <c r="L709" s="429"/>
      <c r="M709" s="429"/>
    </row>
    <row r="710" spans="2:13" ht="15">
      <c r="B710" s="645"/>
      <c r="C710" s="429"/>
      <c r="D710" s="429"/>
      <c r="E710" s="429"/>
      <c r="F710" s="429"/>
      <c r="G710" s="429"/>
      <c r="H710" s="429"/>
      <c r="I710" s="429"/>
      <c r="J710" s="429"/>
      <c r="K710" s="429"/>
      <c r="L710" s="429"/>
      <c r="M710" s="429"/>
    </row>
    <row r="711" spans="2:13" ht="15">
      <c r="B711" s="645"/>
      <c r="C711" s="429"/>
      <c r="D711" s="429"/>
      <c r="E711" s="429"/>
      <c r="F711" s="429"/>
      <c r="G711" s="429"/>
      <c r="H711" s="429"/>
      <c r="I711" s="429"/>
      <c r="J711" s="429"/>
      <c r="K711" s="429"/>
      <c r="L711" s="429"/>
      <c r="M711" s="429"/>
    </row>
    <row r="712" spans="2:13" ht="15">
      <c r="B712" s="645"/>
      <c r="C712" s="429"/>
      <c r="D712" s="429"/>
      <c r="E712" s="429"/>
      <c r="F712" s="429"/>
      <c r="G712" s="429"/>
      <c r="H712" s="429"/>
      <c r="I712" s="429"/>
      <c r="J712" s="429"/>
      <c r="K712" s="429"/>
      <c r="L712" s="429"/>
      <c r="M712" s="429"/>
    </row>
    <row r="713" spans="2:13" ht="15">
      <c r="B713" s="645"/>
      <c r="C713" s="429"/>
      <c r="D713" s="429"/>
      <c r="E713" s="429"/>
      <c r="F713" s="429"/>
      <c r="G713" s="429"/>
      <c r="H713" s="429"/>
      <c r="I713" s="429"/>
      <c r="J713" s="429"/>
      <c r="K713" s="429"/>
      <c r="L713" s="429"/>
      <c r="M713" s="429"/>
    </row>
    <row r="714" spans="2:13" ht="15">
      <c r="B714" s="645"/>
      <c r="C714" s="429"/>
      <c r="D714" s="429"/>
      <c r="E714" s="429"/>
      <c r="F714" s="429"/>
      <c r="G714" s="429"/>
      <c r="H714" s="429"/>
      <c r="I714" s="429"/>
      <c r="J714" s="429"/>
      <c r="K714" s="429"/>
      <c r="L714" s="429"/>
      <c r="M714" s="429"/>
    </row>
    <row r="715" spans="2:13" ht="15">
      <c r="B715" s="645"/>
      <c r="C715" s="429"/>
      <c r="D715" s="429"/>
      <c r="E715" s="429"/>
      <c r="F715" s="429"/>
      <c r="G715" s="429"/>
      <c r="H715" s="429"/>
      <c r="I715" s="429"/>
      <c r="J715" s="429"/>
      <c r="K715" s="429"/>
      <c r="L715" s="429"/>
      <c r="M715" s="429"/>
    </row>
    <row r="716" spans="2:13" ht="15">
      <c r="B716" s="645"/>
      <c r="C716" s="429"/>
      <c r="D716" s="429"/>
      <c r="E716" s="429"/>
      <c r="F716" s="429"/>
      <c r="G716" s="429"/>
      <c r="H716" s="429"/>
      <c r="I716" s="429"/>
      <c r="J716" s="429"/>
      <c r="K716" s="429"/>
      <c r="L716" s="429"/>
      <c r="M716" s="429"/>
    </row>
    <row r="717" spans="2:13" ht="15">
      <c r="B717" s="645"/>
      <c r="C717" s="429"/>
      <c r="D717" s="429"/>
      <c r="E717" s="429"/>
      <c r="F717" s="429"/>
      <c r="G717" s="429"/>
      <c r="H717" s="429"/>
      <c r="I717" s="429"/>
      <c r="J717" s="429"/>
      <c r="K717" s="429"/>
      <c r="L717" s="429"/>
      <c r="M717" s="429"/>
    </row>
    <row r="718" spans="2:13" ht="15">
      <c r="B718" s="645"/>
      <c r="C718" s="429"/>
      <c r="D718" s="429"/>
      <c r="E718" s="429"/>
      <c r="F718" s="429"/>
      <c r="G718" s="429"/>
      <c r="H718" s="429"/>
      <c r="I718" s="429"/>
      <c r="J718" s="429"/>
      <c r="K718" s="429"/>
      <c r="L718" s="429"/>
      <c r="M718" s="429"/>
    </row>
    <row r="719" spans="2:13" ht="15">
      <c r="B719" s="645"/>
      <c r="C719" s="429"/>
      <c r="D719" s="429"/>
      <c r="E719" s="429"/>
      <c r="F719" s="429"/>
      <c r="G719" s="429"/>
      <c r="H719" s="429"/>
      <c r="I719" s="429"/>
      <c r="J719" s="429"/>
      <c r="K719" s="429"/>
      <c r="L719" s="429"/>
      <c r="M719" s="429"/>
    </row>
    <row r="720" spans="2:13" ht="15">
      <c r="B720" s="645"/>
      <c r="C720" s="429"/>
      <c r="D720" s="429"/>
      <c r="E720" s="429"/>
      <c r="F720" s="429"/>
      <c r="G720" s="429"/>
      <c r="H720" s="429"/>
      <c r="I720" s="429"/>
      <c r="J720" s="429"/>
      <c r="K720" s="429"/>
      <c r="L720" s="429"/>
      <c r="M720" s="429"/>
    </row>
    <row r="721" spans="2:13" ht="15">
      <c r="B721" s="645"/>
      <c r="C721" s="429"/>
      <c r="D721" s="429"/>
      <c r="E721" s="429"/>
      <c r="F721" s="429"/>
      <c r="G721" s="429"/>
      <c r="H721" s="429"/>
      <c r="I721" s="429"/>
      <c r="J721" s="429"/>
      <c r="K721" s="429"/>
      <c r="L721" s="429"/>
      <c r="M721" s="429"/>
    </row>
    <row r="722" spans="2:13" ht="15">
      <c r="B722" s="645"/>
      <c r="C722" s="429"/>
      <c r="D722" s="429"/>
      <c r="E722" s="429"/>
      <c r="F722" s="429"/>
      <c r="G722" s="429"/>
      <c r="H722" s="429"/>
      <c r="I722" s="429"/>
      <c r="J722" s="429"/>
      <c r="K722" s="429"/>
      <c r="L722" s="429"/>
      <c r="M722" s="429"/>
    </row>
    <row r="723" spans="2:13" ht="15">
      <c r="B723" s="645"/>
      <c r="C723" s="429"/>
      <c r="D723" s="429"/>
      <c r="E723" s="429"/>
      <c r="F723" s="429"/>
      <c r="G723" s="429"/>
      <c r="H723" s="429"/>
      <c r="I723" s="429"/>
      <c r="J723" s="429"/>
      <c r="K723" s="429"/>
      <c r="L723" s="429"/>
      <c r="M723" s="429"/>
    </row>
    <row r="724" spans="2:13" ht="15">
      <c r="B724" s="645"/>
      <c r="C724" s="429"/>
      <c r="D724" s="429"/>
      <c r="E724" s="429"/>
      <c r="F724" s="429"/>
      <c r="G724" s="429"/>
      <c r="H724" s="429"/>
      <c r="I724" s="429"/>
      <c r="J724" s="429"/>
      <c r="K724" s="429"/>
      <c r="L724" s="429"/>
      <c r="M724" s="429"/>
    </row>
    <row r="725" spans="2:13" ht="15">
      <c r="B725" s="645"/>
      <c r="C725" s="429"/>
      <c r="D725" s="429"/>
      <c r="E725" s="429"/>
      <c r="F725" s="429"/>
      <c r="G725" s="429"/>
      <c r="H725" s="429"/>
      <c r="I725" s="429"/>
      <c r="J725" s="429"/>
      <c r="K725" s="429"/>
      <c r="L725" s="429"/>
      <c r="M725" s="429"/>
    </row>
    <row r="726" spans="2:13" ht="15">
      <c r="B726" s="645"/>
      <c r="C726" s="429"/>
      <c r="D726" s="429"/>
      <c r="E726" s="429"/>
      <c r="F726" s="429"/>
      <c r="G726" s="429"/>
      <c r="H726" s="429"/>
      <c r="I726" s="429"/>
      <c r="J726" s="429"/>
      <c r="K726" s="429"/>
      <c r="L726" s="429"/>
      <c r="M726" s="429"/>
    </row>
    <row r="727" spans="2:13" ht="15">
      <c r="B727" s="645"/>
      <c r="C727" s="429"/>
      <c r="D727" s="429"/>
      <c r="E727" s="429"/>
      <c r="F727" s="429"/>
      <c r="G727" s="429"/>
      <c r="H727" s="429"/>
      <c r="I727" s="429"/>
      <c r="J727" s="429"/>
      <c r="K727" s="429"/>
      <c r="L727" s="429"/>
      <c r="M727" s="429"/>
    </row>
    <row r="728" spans="2:13" ht="15">
      <c r="B728" s="645"/>
      <c r="C728" s="429"/>
      <c r="D728" s="429"/>
      <c r="E728" s="429"/>
      <c r="F728" s="429"/>
      <c r="G728" s="429"/>
      <c r="H728" s="429"/>
      <c r="I728" s="429"/>
      <c r="J728" s="429"/>
      <c r="K728" s="429"/>
      <c r="L728" s="429"/>
      <c r="M728" s="429"/>
    </row>
    <row r="729" spans="2:13" ht="15">
      <c r="B729" s="645"/>
      <c r="C729" s="429"/>
      <c r="D729" s="429"/>
      <c r="E729" s="429"/>
      <c r="F729" s="429"/>
      <c r="G729" s="429"/>
      <c r="H729" s="429"/>
      <c r="I729" s="429"/>
      <c r="J729" s="429"/>
      <c r="K729" s="429"/>
      <c r="L729" s="429"/>
      <c r="M729" s="429"/>
    </row>
    <row r="730" spans="2:13" ht="15">
      <c r="B730" s="645"/>
      <c r="C730" s="429"/>
      <c r="D730" s="429"/>
      <c r="E730" s="429"/>
      <c r="F730" s="429"/>
      <c r="G730" s="429"/>
      <c r="H730" s="429"/>
      <c r="I730" s="429"/>
      <c r="J730" s="429"/>
      <c r="K730" s="429"/>
      <c r="L730" s="429"/>
      <c r="M730" s="429"/>
    </row>
    <row r="731" spans="2:13" ht="15">
      <c r="B731" s="645"/>
      <c r="C731" s="429"/>
      <c r="D731" s="429"/>
      <c r="E731" s="429"/>
      <c r="F731" s="429"/>
      <c r="G731" s="429"/>
      <c r="H731" s="429"/>
      <c r="I731" s="429"/>
      <c r="J731" s="429"/>
      <c r="K731" s="429"/>
      <c r="L731" s="429"/>
      <c r="M731" s="429"/>
    </row>
    <row r="732" spans="2:13" ht="15">
      <c r="B732" s="645"/>
      <c r="C732" s="429"/>
      <c r="D732" s="429"/>
      <c r="E732" s="429"/>
      <c r="F732" s="429"/>
      <c r="G732" s="429"/>
      <c r="H732" s="429"/>
      <c r="I732" s="429"/>
      <c r="J732" s="429"/>
      <c r="K732" s="429"/>
      <c r="L732" s="429"/>
      <c r="M732" s="429"/>
    </row>
    <row r="733" spans="2:13" ht="15">
      <c r="B733" s="645"/>
      <c r="C733" s="429"/>
      <c r="D733" s="429"/>
      <c r="E733" s="429"/>
      <c r="F733" s="429"/>
      <c r="G733" s="429"/>
      <c r="H733" s="429"/>
      <c r="I733" s="429"/>
      <c r="J733" s="429"/>
      <c r="K733" s="429"/>
      <c r="L733" s="429"/>
      <c r="M733" s="429"/>
    </row>
    <row r="734" spans="2:13" ht="15">
      <c r="B734" s="645"/>
      <c r="C734" s="429"/>
      <c r="D734" s="429"/>
      <c r="E734" s="429"/>
      <c r="F734" s="429"/>
      <c r="G734" s="429"/>
      <c r="H734" s="429"/>
      <c r="I734" s="429"/>
      <c r="J734" s="429"/>
      <c r="K734" s="429"/>
      <c r="L734" s="429"/>
      <c r="M734" s="429"/>
    </row>
    <row r="735" spans="2:13" ht="15">
      <c r="B735" s="645"/>
      <c r="C735" s="429"/>
      <c r="D735" s="429"/>
      <c r="E735" s="429"/>
      <c r="F735" s="429"/>
      <c r="G735" s="429"/>
      <c r="H735" s="429"/>
      <c r="I735" s="429"/>
      <c r="J735" s="429"/>
      <c r="K735" s="429"/>
      <c r="L735" s="429"/>
      <c r="M735" s="429"/>
    </row>
    <row r="736" spans="2:13" ht="15">
      <c r="B736" s="645"/>
      <c r="C736" s="429"/>
      <c r="D736" s="429"/>
      <c r="E736" s="429"/>
      <c r="F736" s="429"/>
      <c r="G736" s="429"/>
      <c r="H736" s="429"/>
      <c r="I736" s="429"/>
      <c r="J736" s="429"/>
      <c r="K736" s="429"/>
      <c r="L736" s="429"/>
      <c r="M736" s="429"/>
    </row>
    <row r="737" spans="2:13" ht="15">
      <c r="B737" s="645"/>
      <c r="C737" s="429"/>
      <c r="D737" s="429"/>
      <c r="E737" s="429"/>
      <c r="F737" s="429"/>
      <c r="G737" s="429"/>
      <c r="H737" s="429"/>
      <c r="I737" s="429"/>
      <c r="J737" s="429"/>
      <c r="K737" s="429"/>
      <c r="L737" s="429"/>
      <c r="M737" s="429"/>
    </row>
    <row r="738" spans="2:13" ht="15">
      <c r="B738" s="645"/>
      <c r="C738" s="429"/>
      <c r="D738" s="429"/>
      <c r="E738" s="429"/>
      <c r="F738" s="429"/>
      <c r="G738" s="429"/>
      <c r="H738" s="429"/>
      <c r="I738" s="429"/>
      <c r="J738" s="429"/>
      <c r="K738" s="429"/>
      <c r="L738" s="429"/>
      <c r="M738" s="429"/>
    </row>
    <row r="739" spans="2:13" ht="15">
      <c r="B739" s="645"/>
      <c r="C739" s="429"/>
      <c r="D739" s="429"/>
      <c r="E739" s="429"/>
      <c r="F739" s="429"/>
      <c r="G739" s="429"/>
      <c r="H739" s="429"/>
      <c r="I739" s="429"/>
      <c r="J739" s="429"/>
      <c r="K739" s="429"/>
      <c r="L739" s="429"/>
      <c r="M739" s="429"/>
    </row>
    <row r="740" spans="2:13" ht="15">
      <c r="B740" s="645"/>
      <c r="C740" s="429"/>
      <c r="D740" s="429"/>
      <c r="E740" s="429"/>
      <c r="F740" s="429"/>
      <c r="G740" s="429"/>
      <c r="H740" s="429"/>
      <c r="I740" s="429"/>
      <c r="J740" s="429"/>
      <c r="K740" s="429"/>
      <c r="L740" s="429"/>
      <c r="M740" s="429"/>
    </row>
    <row r="741" spans="2:13" ht="15">
      <c r="B741" s="645"/>
      <c r="C741" s="429"/>
      <c r="D741" s="429"/>
      <c r="E741" s="429"/>
      <c r="F741" s="429"/>
      <c r="G741" s="429"/>
      <c r="H741" s="429"/>
      <c r="I741" s="429"/>
      <c r="J741" s="429"/>
      <c r="K741" s="429"/>
      <c r="L741" s="429"/>
      <c r="M741" s="429"/>
    </row>
    <row r="742" spans="2:13" ht="15">
      <c r="B742" s="645"/>
      <c r="C742" s="429"/>
      <c r="D742" s="429"/>
      <c r="E742" s="429"/>
      <c r="F742" s="429"/>
      <c r="G742" s="429"/>
      <c r="H742" s="429"/>
      <c r="I742" s="429"/>
      <c r="J742" s="429"/>
      <c r="K742" s="429"/>
      <c r="L742" s="429"/>
      <c r="M742" s="429"/>
    </row>
    <row r="743" spans="2:13" ht="15">
      <c r="B743" s="645"/>
      <c r="C743" s="429"/>
      <c r="D743" s="429"/>
      <c r="E743" s="429"/>
      <c r="F743" s="429"/>
      <c r="G743" s="429"/>
      <c r="H743" s="429"/>
      <c r="I743" s="429"/>
      <c r="J743" s="429"/>
      <c r="K743" s="429"/>
      <c r="L743" s="429"/>
      <c r="M743" s="429"/>
    </row>
    <row r="744" spans="2:13" ht="15">
      <c r="B744" s="645"/>
      <c r="C744" s="429"/>
      <c r="D744" s="429"/>
      <c r="E744" s="429"/>
      <c r="F744" s="429"/>
      <c r="G744" s="429"/>
      <c r="H744" s="429"/>
      <c r="I744" s="429"/>
      <c r="J744" s="429"/>
      <c r="K744" s="429"/>
      <c r="L744" s="429"/>
      <c r="M744" s="429"/>
    </row>
    <row r="745" spans="2:13" ht="15">
      <c r="B745" s="645"/>
      <c r="C745" s="429"/>
      <c r="D745" s="429"/>
      <c r="E745" s="429"/>
      <c r="F745" s="429"/>
      <c r="G745" s="429"/>
      <c r="H745" s="429"/>
      <c r="I745" s="429"/>
      <c r="J745" s="429"/>
      <c r="K745" s="429"/>
      <c r="L745" s="429"/>
      <c r="M745" s="429"/>
    </row>
    <row r="746" spans="2:13" ht="15">
      <c r="B746" s="645"/>
      <c r="C746" s="429"/>
      <c r="D746" s="429"/>
      <c r="E746" s="429"/>
      <c r="F746" s="429"/>
      <c r="G746" s="429"/>
      <c r="H746" s="429"/>
      <c r="I746" s="429"/>
      <c r="J746" s="429"/>
      <c r="K746" s="429"/>
      <c r="L746" s="429"/>
      <c r="M746" s="429"/>
    </row>
    <row r="747" spans="2:13" ht="15">
      <c r="B747" s="645"/>
      <c r="C747" s="429"/>
      <c r="D747" s="429"/>
      <c r="E747" s="429"/>
      <c r="F747" s="429"/>
      <c r="G747" s="429"/>
      <c r="H747" s="429"/>
      <c r="I747" s="429"/>
      <c r="J747" s="429"/>
      <c r="K747" s="429"/>
      <c r="L747" s="429"/>
      <c r="M747" s="429"/>
    </row>
    <row r="748" spans="2:13" ht="15">
      <c r="B748" s="645"/>
      <c r="C748" s="429"/>
      <c r="D748" s="429"/>
      <c r="E748" s="429"/>
      <c r="F748" s="429"/>
      <c r="G748" s="429"/>
      <c r="H748" s="429"/>
      <c r="I748" s="429"/>
      <c r="J748" s="429"/>
      <c r="K748" s="429"/>
      <c r="L748" s="429"/>
      <c r="M748" s="429"/>
    </row>
    <row r="749" spans="2:13" ht="15">
      <c r="B749" s="645"/>
      <c r="C749" s="429"/>
      <c r="D749" s="429"/>
      <c r="E749" s="429"/>
      <c r="F749" s="429"/>
      <c r="G749" s="429"/>
      <c r="H749" s="429"/>
      <c r="I749" s="429"/>
      <c r="J749" s="429"/>
      <c r="K749" s="429"/>
      <c r="L749" s="429"/>
      <c r="M749" s="429"/>
    </row>
    <row r="750" spans="2:13" ht="15">
      <c r="B750" s="645"/>
      <c r="C750" s="429"/>
      <c r="D750" s="429"/>
      <c r="E750" s="429"/>
      <c r="F750" s="429"/>
      <c r="G750" s="429"/>
      <c r="H750" s="429"/>
      <c r="I750" s="429"/>
      <c r="J750" s="429"/>
      <c r="K750" s="429"/>
      <c r="L750" s="429"/>
      <c r="M750" s="429"/>
    </row>
    <row r="751" spans="2:13" ht="15">
      <c r="B751" s="645"/>
      <c r="C751" s="429"/>
      <c r="D751" s="429"/>
      <c r="E751" s="429"/>
      <c r="F751" s="429"/>
      <c r="G751" s="429"/>
      <c r="H751" s="429"/>
      <c r="I751" s="429"/>
      <c r="J751" s="429"/>
      <c r="K751" s="429"/>
      <c r="L751" s="429"/>
      <c r="M751" s="429"/>
    </row>
    <row r="752" spans="2:13" ht="15">
      <c r="B752" s="645"/>
      <c r="C752" s="429"/>
      <c r="D752" s="429"/>
      <c r="E752" s="429"/>
      <c r="F752" s="429"/>
      <c r="G752" s="429"/>
      <c r="H752" s="429"/>
      <c r="I752" s="429"/>
      <c r="J752" s="429"/>
      <c r="K752" s="429"/>
      <c r="L752" s="429"/>
      <c r="M752" s="429"/>
    </row>
    <row r="753" spans="2:13" ht="15">
      <c r="B753" s="645"/>
      <c r="C753" s="429"/>
      <c r="D753" s="429"/>
      <c r="E753" s="429"/>
      <c r="F753" s="429"/>
      <c r="G753" s="429"/>
      <c r="H753" s="429"/>
      <c r="I753" s="429"/>
      <c r="J753" s="429"/>
      <c r="K753" s="429"/>
      <c r="L753" s="429"/>
      <c r="M753" s="429"/>
    </row>
    <row r="754" spans="2:13" ht="15">
      <c r="B754" s="645"/>
      <c r="C754" s="429"/>
      <c r="D754" s="429"/>
      <c r="E754" s="429"/>
      <c r="F754" s="429"/>
      <c r="G754" s="429"/>
      <c r="H754" s="429"/>
      <c r="I754" s="429"/>
      <c r="J754" s="429"/>
      <c r="K754" s="429"/>
      <c r="L754" s="429"/>
      <c r="M754" s="429"/>
    </row>
    <row r="755" spans="2:13" ht="15">
      <c r="B755" s="645"/>
      <c r="C755" s="429"/>
      <c r="D755" s="429"/>
      <c r="E755" s="429"/>
      <c r="F755" s="429"/>
      <c r="G755" s="429"/>
      <c r="H755" s="429"/>
      <c r="I755" s="429"/>
      <c r="J755" s="429"/>
      <c r="K755" s="429"/>
      <c r="L755" s="429"/>
      <c r="M755" s="429"/>
    </row>
    <row r="756" spans="2:13" ht="15">
      <c r="B756" s="645"/>
      <c r="C756" s="429"/>
      <c r="D756" s="429"/>
      <c r="E756" s="429"/>
      <c r="F756" s="429"/>
      <c r="G756" s="429"/>
      <c r="H756" s="429"/>
      <c r="I756" s="429"/>
      <c r="J756" s="429"/>
      <c r="K756" s="429"/>
      <c r="L756" s="429"/>
      <c r="M756" s="429"/>
    </row>
    <row r="757" spans="2:13" ht="15">
      <c r="B757" s="645"/>
      <c r="C757" s="429"/>
      <c r="D757" s="429"/>
      <c r="E757" s="429"/>
      <c r="F757" s="429"/>
      <c r="G757" s="429"/>
      <c r="H757" s="429"/>
      <c r="I757" s="429"/>
      <c r="J757" s="429"/>
      <c r="K757" s="429"/>
      <c r="L757" s="429"/>
      <c r="M757" s="429"/>
    </row>
    <row r="758" spans="2:13" ht="15">
      <c r="B758" s="645"/>
      <c r="C758" s="429"/>
      <c r="D758" s="429"/>
      <c r="E758" s="429"/>
      <c r="F758" s="429"/>
      <c r="G758" s="429"/>
      <c r="H758" s="429"/>
      <c r="I758" s="429"/>
      <c r="J758" s="429"/>
      <c r="K758" s="429"/>
      <c r="L758" s="429"/>
      <c r="M758" s="429"/>
    </row>
    <row r="759" spans="2:13" ht="15">
      <c r="B759" s="645"/>
      <c r="C759" s="429"/>
      <c r="D759" s="429"/>
      <c r="E759" s="429"/>
      <c r="F759" s="429"/>
      <c r="G759" s="429"/>
      <c r="H759" s="429"/>
      <c r="I759" s="429"/>
      <c r="J759" s="429"/>
      <c r="K759" s="429"/>
      <c r="L759" s="429"/>
      <c r="M759" s="429"/>
    </row>
    <row r="760" spans="2:13" ht="15">
      <c r="B760" s="645"/>
      <c r="C760" s="429"/>
      <c r="D760" s="429"/>
      <c r="E760" s="429"/>
      <c r="F760" s="429"/>
      <c r="G760" s="429"/>
      <c r="H760" s="429"/>
      <c r="I760" s="429"/>
      <c r="J760" s="429"/>
      <c r="K760" s="429"/>
      <c r="L760" s="429"/>
      <c r="M760" s="429"/>
    </row>
    <row r="761" spans="2:13" ht="15">
      <c r="B761" s="645"/>
      <c r="C761" s="429"/>
      <c r="D761" s="429"/>
      <c r="E761" s="429"/>
      <c r="F761" s="429"/>
      <c r="G761" s="429"/>
      <c r="H761" s="429"/>
      <c r="I761" s="429"/>
      <c r="J761" s="429"/>
      <c r="K761" s="429"/>
      <c r="L761" s="429"/>
      <c r="M761" s="429"/>
    </row>
    <row r="762" spans="2:13" ht="15">
      <c r="B762" s="645"/>
      <c r="C762" s="429"/>
      <c r="D762" s="429"/>
      <c r="E762" s="429"/>
      <c r="F762" s="429"/>
      <c r="G762" s="429"/>
      <c r="H762" s="429"/>
      <c r="I762" s="429"/>
      <c r="J762" s="429"/>
      <c r="K762" s="429"/>
      <c r="L762" s="429"/>
      <c r="M762" s="429"/>
    </row>
    <row r="763" spans="2:13" ht="15">
      <c r="B763" s="645"/>
      <c r="C763" s="429"/>
      <c r="D763" s="429"/>
      <c r="E763" s="429"/>
      <c r="F763" s="429"/>
      <c r="G763" s="429"/>
      <c r="H763" s="429"/>
      <c r="I763" s="429"/>
      <c r="J763" s="429"/>
      <c r="K763" s="429"/>
      <c r="L763" s="429"/>
      <c r="M763" s="429"/>
    </row>
    <row r="764" spans="2:13" ht="15">
      <c r="B764" s="645"/>
      <c r="C764" s="429"/>
      <c r="D764" s="429"/>
      <c r="E764" s="429"/>
      <c r="F764" s="429"/>
      <c r="G764" s="429"/>
      <c r="H764" s="429"/>
      <c r="I764" s="429"/>
      <c r="J764" s="429"/>
      <c r="K764" s="429"/>
      <c r="L764" s="429"/>
      <c r="M764" s="429"/>
    </row>
    <row r="765" spans="2:13" ht="15">
      <c r="B765" s="645"/>
      <c r="C765" s="429"/>
      <c r="D765" s="429"/>
      <c r="E765" s="429"/>
      <c r="F765" s="429"/>
      <c r="G765" s="429"/>
      <c r="H765" s="429"/>
      <c r="I765" s="429"/>
      <c r="J765" s="429"/>
      <c r="K765" s="429"/>
      <c r="L765" s="429"/>
      <c r="M765" s="429"/>
    </row>
    <row r="766" spans="2:13" ht="15">
      <c r="B766" s="645"/>
      <c r="C766" s="429"/>
      <c r="D766" s="429"/>
      <c r="E766" s="429"/>
      <c r="F766" s="429"/>
      <c r="G766" s="429"/>
      <c r="H766" s="429"/>
      <c r="I766" s="429"/>
      <c r="J766" s="429"/>
      <c r="K766" s="429"/>
      <c r="L766" s="429"/>
      <c r="M766" s="429"/>
    </row>
    <row r="767" spans="2:13" ht="15">
      <c r="B767" s="645"/>
      <c r="C767" s="429"/>
      <c r="D767" s="429"/>
      <c r="E767" s="429"/>
      <c r="F767" s="429"/>
      <c r="G767" s="429"/>
      <c r="H767" s="429"/>
      <c r="I767" s="429"/>
      <c r="J767" s="429"/>
      <c r="K767" s="429"/>
      <c r="L767" s="429"/>
      <c r="M767" s="429"/>
    </row>
    <row r="768" spans="2:13" ht="15">
      <c r="B768" s="645"/>
      <c r="C768" s="429"/>
      <c r="D768" s="429"/>
      <c r="E768" s="429"/>
      <c r="F768" s="429"/>
      <c r="G768" s="429"/>
      <c r="H768" s="429"/>
      <c r="I768" s="429"/>
      <c r="J768" s="429"/>
      <c r="K768" s="429"/>
      <c r="L768" s="429"/>
      <c r="M768" s="429"/>
    </row>
    <row r="769" spans="2:13" ht="15">
      <c r="B769" s="645"/>
      <c r="C769" s="429"/>
      <c r="D769" s="429"/>
      <c r="E769" s="429"/>
      <c r="F769" s="429"/>
      <c r="G769" s="429"/>
      <c r="H769" s="429"/>
      <c r="I769" s="429"/>
      <c r="J769" s="429"/>
      <c r="K769" s="429"/>
      <c r="L769" s="429"/>
      <c r="M769" s="429"/>
    </row>
    <row r="770" spans="2:13" ht="15">
      <c r="B770" s="645"/>
      <c r="C770" s="429"/>
      <c r="D770" s="429"/>
      <c r="E770" s="429"/>
      <c r="F770" s="429"/>
      <c r="G770" s="429"/>
      <c r="H770" s="429"/>
      <c r="I770" s="429"/>
      <c r="J770" s="429"/>
      <c r="K770" s="429"/>
      <c r="L770" s="429"/>
      <c r="M770" s="429"/>
    </row>
    <row r="771" spans="2:13" ht="15">
      <c r="B771" s="645"/>
      <c r="C771" s="429"/>
      <c r="D771" s="429"/>
      <c r="E771" s="429"/>
      <c r="F771" s="429"/>
      <c r="G771" s="429"/>
      <c r="H771" s="429"/>
      <c r="I771" s="429"/>
      <c r="J771" s="429"/>
      <c r="K771" s="429"/>
      <c r="L771" s="429"/>
      <c r="M771" s="429"/>
    </row>
    <row r="772" spans="2:13" ht="15">
      <c r="B772" s="645"/>
      <c r="C772" s="429"/>
      <c r="D772" s="429"/>
      <c r="E772" s="429"/>
      <c r="F772" s="429"/>
      <c r="G772" s="429"/>
      <c r="H772" s="429"/>
      <c r="I772" s="429"/>
      <c r="J772" s="429"/>
      <c r="K772" s="429"/>
      <c r="L772" s="429"/>
      <c r="M772" s="429"/>
    </row>
    <row r="773" spans="2:13" ht="15">
      <c r="B773" s="645"/>
      <c r="C773" s="429"/>
      <c r="D773" s="429"/>
      <c r="E773" s="429"/>
      <c r="F773" s="429"/>
      <c r="G773" s="429"/>
      <c r="H773" s="429"/>
      <c r="I773" s="429"/>
      <c r="J773" s="429"/>
      <c r="K773" s="429"/>
      <c r="L773" s="429"/>
      <c r="M773" s="429"/>
    </row>
    <row r="774" spans="2:13" ht="15">
      <c r="B774" s="645"/>
      <c r="C774" s="429"/>
      <c r="D774" s="429"/>
      <c r="E774" s="429"/>
      <c r="F774" s="429"/>
      <c r="G774" s="429"/>
      <c r="H774" s="429"/>
      <c r="I774" s="429"/>
      <c r="J774" s="429"/>
      <c r="K774" s="429"/>
      <c r="L774" s="429"/>
      <c r="M774" s="429"/>
    </row>
    <row r="775" spans="2:13" ht="15">
      <c r="B775" s="645"/>
      <c r="C775" s="429"/>
      <c r="D775" s="429"/>
      <c r="E775" s="429"/>
      <c r="F775" s="429"/>
      <c r="G775" s="429"/>
      <c r="H775" s="429"/>
      <c r="I775" s="429"/>
      <c r="J775" s="429"/>
      <c r="K775" s="429"/>
      <c r="L775" s="429"/>
      <c r="M775" s="429"/>
    </row>
    <row r="776" spans="2:13" ht="15">
      <c r="B776" s="645"/>
      <c r="C776" s="429"/>
      <c r="D776" s="429"/>
      <c r="E776" s="429"/>
      <c r="F776" s="429"/>
      <c r="G776" s="429"/>
      <c r="H776" s="429"/>
      <c r="I776" s="429"/>
      <c r="J776" s="429"/>
      <c r="K776" s="429"/>
      <c r="L776" s="429"/>
      <c r="M776" s="429"/>
    </row>
    <row r="777" spans="2:13" ht="15">
      <c r="B777" s="645"/>
      <c r="C777" s="429"/>
      <c r="D777" s="429"/>
      <c r="E777" s="429"/>
      <c r="F777" s="429"/>
      <c r="G777" s="429"/>
      <c r="H777" s="429"/>
      <c r="I777" s="429"/>
      <c r="J777" s="429"/>
      <c r="K777" s="429"/>
      <c r="L777" s="429"/>
      <c r="M777" s="429"/>
    </row>
    <row r="778" spans="2:13" ht="15">
      <c r="B778" s="645"/>
      <c r="C778" s="429"/>
      <c r="D778" s="429"/>
      <c r="E778" s="429"/>
      <c r="F778" s="429"/>
      <c r="G778" s="429"/>
      <c r="H778" s="429"/>
      <c r="I778" s="429"/>
      <c r="J778" s="429"/>
      <c r="K778" s="429"/>
      <c r="L778" s="429"/>
      <c r="M778" s="429"/>
    </row>
    <row r="779" spans="2:13" ht="15">
      <c r="B779" s="645"/>
      <c r="C779" s="429"/>
      <c r="D779" s="429"/>
      <c r="E779" s="429"/>
      <c r="F779" s="429"/>
      <c r="G779" s="429"/>
      <c r="H779" s="429"/>
      <c r="I779" s="429"/>
      <c r="J779" s="429"/>
      <c r="K779" s="429"/>
      <c r="L779" s="429"/>
      <c r="M779" s="429"/>
    </row>
    <row r="780" spans="2:13" ht="15">
      <c r="B780" s="645"/>
      <c r="C780" s="429"/>
      <c r="D780" s="429"/>
      <c r="E780" s="429"/>
      <c r="F780" s="429"/>
      <c r="G780" s="429"/>
      <c r="H780" s="429"/>
      <c r="I780" s="429"/>
      <c r="J780" s="429"/>
      <c r="K780" s="429"/>
      <c r="L780" s="429"/>
      <c r="M780" s="429"/>
    </row>
    <row r="781" spans="2:13" ht="15">
      <c r="B781" s="645"/>
      <c r="C781" s="429"/>
      <c r="D781" s="429"/>
      <c r="E781" s="429"/>
      <c r="F781" s="429"/>
      <c r="G781" s="429"/>
      <c r="H781" s="429"/>
      <c r="I781" s="429"/>
      <c r="J781" s="429"/>
      <c r="K781" s="429"/>
      <c r="L781" s="429"/>
      <c r="M781" s="429"/>
    </row>
    <row r="782" spans="2:13" ht="15">
      <c r="B782" s="645"/>
      <c r="C782" s="429"/>
      <c r="D782" s="429"/>
      <c r="E782" s="429"/>
      <c r="F782" s="429"/>
      <c r="G782" s="429"/>
      <c r="H782" s="429"/>
      <c r="I782" s="429"/>
      <c r="J782" s="429"/>
      <c r="K782" s="429"/>
      <c r="L782" s="429"/>
      <c r="M782" s="429"/>
    </row>
    <row r="783" spans="2:13" ht="15">
      <c r="B783" s="645"/>
      <c r="C783" s="429"/>
      <c r="D783" s="429"/>
      <c r="E783" s="429"/>
      <c r="F783" s="429"/>
      <c r="G783" s="429"/>
      <c r="H783" s="429"/>
      <c r="I783" s="429"/>
      <c r="J783" s="429"/>
      <c r="K783" s="429"/>
      <c r="L783" s="429"/>
      <c r="M783" s="429"/>
    </row>
    <row r="784" spans="2:13" ht="15">
      <c r="B784" s="645"/>
      <c r="C784" s="429"/>
      <c r="D784" s="429"/>
      <c r="E784" s="429"/>
      <c r="F784" s="429"/>
      <c r="G784" s="429"/>
      <c r="H784" s="429"/>
      <c r="I784" s="429"/>
      <c r="J784" s="429"/>
      <c r="K784" s="429"/>
      <c r="L784" s="429"/>
      <c r="M784" s="429"/>
    </row>
    <row r="785" spans="2:13" ht="15">
      <c r="B785" s="645"/>
      <c r="C785" s="429"/>
      <c r="D785" s="429"/>
      <c r="E785" s="429"/>
      <c r="F785" s="429"/>
      <c r="G785" s="429"/>
      <c r="H785" s="429"/>
      <c r="I785" s="429"/>
      <c r="J785" s="429"/>
      <c r="K785" s="429"/>
      <c r="L785" s="429"/>
      <c r="M785" s="429"/>
    </row>
    <row r="786" spans="2:13" ht="15">
      <c r="B786" s="645"/>
      <c r="C786" s="429"/>
      <c r="D786" s="429"/>
      <c r="E786" s="429"/>
      <c r="F786" s="429"/>
      <c r="G786" s="429"/>
      <c r="H786" s="429"/>
      <c r="I786" s="429"/>
      <c r="J786" s="429"/>
      <c r="K786" s="429"/>
      <c r="L786" s="429"/>
      <c r="M786" s="429"/>
    </row>
    <row r="787" spans="2:13" ht="15">
      <c r="B787" s="645"/>
      <c r="C787" s="429"/>
      <c r="D787" s="429"/>
      <c r="E787" s="429"/>
      <c r="F787" s="429"/>
      <c r="G787" s="429"/>
      <c r="H787" s="429"/>
      <c r="I787" s="429"/>
      <c r="J787" s="429"/>
      <c r="K787" s="429"/>
      <c r="L787" s="429"/>
      <c r="M787" s="429"/>
    </row>
    <row r="788" spans="2:13" ht="15">
      <c r="B788" s="645"/>
      <c r="C788" s="429"/>
      <c r="D788" s="429"/>
      <c r="E788" s="429"/>
      <c r="F788" s="429"/>
      <c r="G788" s="429"/>
      <c r="H788" s="429"/>
      <c r="I788" s="429"/>
      <c r="J788" s="429"/>
      <c r="K788" s="429"/>
      <c r="L788" s="429"/>
      <c r="M788" s="429"/>
    </row>
    <row r="789" spans="2:13" ht="15">
      <c r="B789" s="645"/>
      <c r="C789" s="429"/>
      <c r="D789" s="429"/>
      <c r="E789" s="429"/>
      <c r="F789" s="429"/>
      <c r="G789" s="429"/>
      <c r="H789" s="429"/>
      <c r="I789" s="429"/>
      <c r="J789" s="429"/>
      <c r="K789" s="429"/>
      <c r="L789" s="429"/>
      <c r="M789" s="429"/>
    </row>
    <row r="790" spans="2:13" ht="15">
      <c r="B790" s="645"/>
      <c r="C790" s="429"/>
      <c r="D790" s="429"/>
      <c r="E790" s="429"/>
      <c r="F790" s="429"/>
      <c r="G790" s="429"/>
      <c r="H790" s="429"/>
      <c r="I790" s="429"/>
      <c r="J790" s="429"/>
      <c r="K790" s="429"/>
      <c r="L790" s="429"/>
      <c r="M790" s="429"/>
    </row>
    <row r="791" spans="2:13" ht="15">
      <c r="B791" s="645"/>
      <c r="C791" s="429"/>
      <c r="D791" s="429"/>
      <c r="E791" s="429"/>
      <c r="F791" s="429"/>
      <c r="G791" s="429"/>
      <c r="H791" s="429"/>
      <c r="I791" s="429"/>
      <c r="J791" s="429"/>
      <c r="K791" s="429"/>
      <c r="L791" s="429"/>
      <c r="M791" s="429"/>
    </row>
    <row r="792" spans="2:13" ht="15">
      <c r="B792" s="645"/>
      <c r="C792" s="429"/>
      <c r="D792" s="429"/>
      <c r="E792" s="429"/>
      <c r="F792" s="429"/>
      <c r="G792" s="429"/>
      <c r="H792" s="429"/>
      <c r="I792" s="429"/>
      <c r="J792" s="429"/>
      <c r="K792" s="429"/>
      <c r="L792" s="429"/>
      <c r="M792" s="429"/>
    </row>
    <row r="793" spans="2:13" ht="15">
      <c r="B793" s="645"/>
      <c r="C793" s="429"/>
      <c r="D793" s="429"/>
      <c r="E793" s="429"/>
      <c r="F793" s="429"/>
      <c r="G793" s="429"/>
      <c r="H793" s="429"/>
      <c r="I793" s="429"/>
      <c r="J793" s="429"/>
      <c r="K793" s="429"/>
      <c r="L793" s="429"/>
      <c r="M793" s="429"/>
    </row>
    <row r="794" spans="2:13" ht="15">
      <c r="B794" s="645"/>
      <c r="C794" s="429"/>
      <c r="D794" s="429"/>
      <c r="E794" s="429"/>
      <c r="F794" s="429"/>
      <c r="G794" s="429"/>
      <c r="H794" s="429"/>
      <c r="I794" s="429"/>
      <c r="J794" s="429"/>
      <c r="K794" s="429"/>
      <c r="L794" s="429"/>
      <c r="M794" s="429"/>
    </row>
    <row r="795" spans="2:13" ht="15">
      <c r="B795" s="645"/>
      <c r="C795" s="429"/>
      <c r="D795" s="429"/>
      <c r="E795" s="429"/>
      <c r="F795" s="429"/>
      <c r="G795" s="429"/>
      <c r="H795" s="429"/>
      <c r="I795" s="429"/>
      <c r="J795" s="429"/>
      <c r="K795" s="429"/>
      <c r="L795" s="429"/>
      <c r="M795" s="429"/>
    </row>
    <row r="796" spans="2:13" ht="15">
      <c r="B796" s="645"/>
      <c r="C796" s="429"/>
      <c r="D796" s="429"/>
      <c r="E796" s="429"/>
      <c r="F796" s="429"/>
      <c r="G796" s="429"/>
      <c r="H796" s="429"/>
      <c r="I796" s="429"/>
      <c r="J796" s="429"/>
      <c r="K796" s="429"/>
      <c r="L796" s="429"/>
      <c r="M796" s="429"/>
    </row>
    <row r="797" spans="2:13" ht="15">
      <c r="B797" s="645"/>
      <c r="C797" s="429"/>
      <c r="D797" s="429"/>
      <c r="E797" s="429"/>
      <c r="F797" s="429"/>
      <c r="G797" s="429"/>
      <c r="H797" s="429"/>
      <c r="I797" s="429"/>
      <c r="J797" s="429"/>
      <c r="K797" s="429"/>
      <c r="L797" s="429"/>
      <c r="M797" s="429"/>
    </row>
    <row r="798" spans="2:13" ht="15">
      <c r="B798" s="645"/>
      <c r="C798" s="429"/>
      <c r="D798" s="429"/>
      <c r="E798" s="429"/>
      <c r="F798" s="429"/>
      <c r="G798" s="429"/>
      <c r="H798" s="429"/>
      <c r="I798" s="429"/>
      <c r="J798" s="429"/>
      <c r="K798" s="429"/>
      <c r="L798" s="429"/>
      <c r="M798" s="429"/>
    </row>
    <row r="799" spans="2:13" ht="15">
      <c r="B799" s="645"/>
      <c r="C799" s="429"/>
      <c r="D799" s="429"/>
      <c r="E799" s="429"/>
      <c r="F799" s="429"/>
      <c r="G799" s="429"/>
      <c r="H799" s="429"/>
      <c r="I799" s="429"/>
      <c r="J799" s="429"/>
      <c r="K799" s="429"/>
      <c r="L799" s="429"/>
      <c r="M799" s="429"/>
    </row>
    <row r="800" spans="2:13" ht="15">
      <c r="B800" s="645"/>
      <c r="C800" s="429"/>
      <c r="D800" s="429"/>
      <c r="E800" s="429"/>
      <c r="F800" s="429"/>
      <c r="G800" s="429"/>
      <c r="H800" s="429"/>
      <c r="I800" s="429"/>
      <c r="J800" s="429"/>
      <c r="K800" s="429"/>
      <c r="L800" s="429"/>
      <c r="M800" s="429"/>
    </row>
    <row r="801" spans="2:13" ht="15">
      <c r="B801" s="645"/>
      <c r="C801" s="429"/>
      <c r="D801" s="429"/>
      <c r="E801" s="429"/>
      <c r="F801" s="429"/>
      <c r="G801" s="429"/>
      <c r="H801" s="429"/>
      <c r="I801" s="429"/>
      <c r="J801" s="429"/>
      <c r="K801" s="429"/>
      <c r="L801" s="429"/>
      <c r="M801" s="429"/>
    </row>
    <row r="802" spans="2:13" ht="15">
      <c r="B802" s="645"/>
      <c r="C802" s="429"/>
      <c r="D802" s="429"/>
      <c r="E802" s="429"/>
      <c r="F802" s="429"/>
      <c r="G802" s="429"/>
      <c r="H802" s="429"/>
      <c r="I802" s="429"/>
      <c r="J802" s="429"/>
      <c r="K802" s="429"/>
      <c r="L802" s="429"/>
      <c r="M802" s="429"/>
    </row>
    <row r="803" spans="2:13" ht="15">
      <c r="B803" s="645"/>
      <c r="C803" s="429"/>
      <c r="D803" s="429"/>
      <c r="E803" s="429"/>
      <c r="F803" s="429"/>
      <c r="G803" s="429"/>
      <c r="H803" s="429"/>
      <c r="I803" s="429"/>
      <c r="J803" s="429"/>
      <c r="K803" s="429"/>
      <c r="L803" s="429"/>
      <c r="M803" s="429"/>
    </row>
    <row r="804" spans="2:13" ht="15">
      <c r="B804" s="645"/>
      <c r="C804" s="429"/>
      <c r="D804" s="429"/>
      <c r="E804" s="429"/>
      <c r="F804" s="429"/>
      <c r="G804" s="429"/>
      <c r="H804" s="429"/>
      <c r="I804" s="429"/>
      <c r="J804" s="429"/>
      <c r="K804" s="429"/>
      <c r="L804" s="429"/>
      <c r="M804" s="429"/>
    </row>
    <row r="805" spans="2:13" ht="15">
      <c r="B805" s="645"/>
      <c r="C805" s="429"/>
      <c r="D805" s="429"/>
      <c r="E805" s="429"/>
      <c r="F805" s="429"/>
      <c r="G805" s="429"/>
      <c r="H805" s="429"/>
      <c r="I805" s="429"/>
      <c r="J805" s="429"/>
      <c r="K805" s="429"/>
      <c r="L805" s="429"/>
      <c r="M805" s="429"/>
    </row>
    <row r="806" spans="2:13" ht="15">
      <c r="B806" s="645"/>
      <c r="C806" s="429"/>
      <c r="D806" s="429"/>
      <c r="E806" s="429"/>
      <c r="F806" s="429"/>
      <c r="G806" s="429"/>
      <c r="H806" s="429"/>
      <c r="I806" s="429"/>
      <c r="J806" s="429"/>
      <c r="K806" s="429"/>
      <c r="L806" s="429"/>
      <c r="M806" s="429"/>
    </row>
    <row r="807" spans="2:13" ht="15">
      <c r="B807" s="645"/>
      <c r="C807" s="429"/>
      <c r="D807" s="429"/>
      <c r="E807" s="429"/>
      <c r="F807" s="429"/>
      <c r="G807" s="429"/>
      <c r="H807" s="429"/>
      <c r="I807" s="429"/>
      <c r="J807" s="429"/>
      <c r="K807" s="429"/>
      <c r="L807" s="429"/>
      <c r="M807" s="429"/>
    </row>
    <row r="808" spans="2:13" ht="15">
      <c r="B808" s="645"/>
      <c r="C808" s="429"/>
      <c r="D808" s="429"/>
      <c r="E808" s="429"/>
      <c r="F808" s="429"/>
      <c r="G808" s="429"/>
      <c r="H808" s="429"/>
      <c r="I808" s="429"/>
      <c r="J808" s="429"/>
      <c r="K808" s="429"/>
      <c r="L808" s="429"/>
      <c r="M808" s="429"/>
    </row>
    <row r="809" spans="2:13" ht="15">
      <c r="B809" s="645"/>
      <c r="C809" s="429"/>
      <c r="D809" s="429"/>
      <c r="E809" s="429"/>
      <c r="F809" s="429"/>
      <c r="G809" s="429"/>
      <c r="H809" s="429"/>
      <c r="I809" s="429"/>
      <c r="J809" s="429"/>
      <c r="K809" s="429"/>
      <c r="L809" s="429"/>
      <c r="M809" s="429"/>
    </row>
    <row r="810" spans="2:13" ht="15">
      <c r="B810" s="645"/>
      <c r="C810" s="429"/>
      <c r="D810" s="429"/>
      <c r="E810" s="429"/>
      <c r="F810" s="429"/>
      <c r="G810" s="429"/>
      <c r="H810" s="429"/>
      <c r="I810" s="429"/>
      <c r="J810" s="429"/>
      <c r="K810" s="429"/>
      <c r="L810" s="429"/>
      <c r="M810" s="429"/>
    </row>
    <row r="811" spans="2:13" ht="15">
      <c r="B811" s="645"/>
      <c r="C811" s="429"/>
      <c r="D811" s="429"/>
      <c r="E811" s="429"/>
      <c r="F811" s="429"/>
      <c r="G811" s="429"/>
      <c r="H811" s="429"/>
      <c r="I811" s="429"/>
      <c r="J811" s="429"/>
      <c r="K811" s="429"/>
      <c r="L811" s="429"/>
      <c r="M811" s="429"/>
    </row>
    <row r="812" spans="2:13" ht="15">
      <c r="B812" s="645"/>
      <c r="C812" s="429"/>
      <c r="D812" s="429"/>
      <c r="E812" s="429"/>
      <c r="F812" s="429"/>
      <c r="G812" s="429"/>
      <c r="H812" s="429"/>
      <c r="I812" s="429"/>
      <c r="J812" s="429"/>
      <c r="K812" s="429"/>
      <c r="L812" s="429"/>
      <c r="M812" s="429"/>
    </row>
    <row r="813" spans="2:13" ht="15">
      <c r="B813" s="645"/>
      <c r="C813" s="429"/>
      <c r="D813" s="429"/>
      <c r="E813" s="429"/>
      <c r="F813" s="429"/>
      <c r="G813" s="429"/>
      <c r="H813" s="429"/>
      <c r="I813" s="429"/>
      <c r="J813" s="429"/>
      <c r="K813" s="429"/>
      <c r="L813" s="429"/>
      <c r="M813" s="429"/>
    </row>
    <row r="814" spans="2:13" ht="15">
      <c r="B814" s="645"/>
      <c r="C814" s="429"/>
      <c r="D814" s="429"/>
      <c r="E814" s="429"/>
      <c r="F814" s="429"/>
      <c r="G814" s="429"/>
      <c r="H814" s="429"/>
      <c r="I814" s="429"/>
      <c r="J814" s="429"/>
      <c r="K814" s="429"/>
      <c r="L814" s="429"/>
      <c r="M814" s="429"/>
    </row>
    <row r="815" spans="2:13" ht="15">
      <c r="B815" s="645"/>
      <c r="C815" s="429"/>
      <c r="D815" s="429"/>
      <c r="E815" s="429"/>
      <c r="F815" s="429"/>
      <c r="G815" s="429"/>
      <c r="H815" s="429"/>
      <c r="I815" s="429"/>
      <c r="J815" s="429"/>
      <c r="K815" s="429"/>
      <c r="L815" s="429"/>
      <c r="M815" s="429"/>
    </row>
    <row r="816" spans="2:13" ht="15">
      <c r="B816" s="645"/>
      <c r="C816" s="429"/>
      <c r="D816" s="429"/>
      <c r="E816" s="429"/>
      <c r="F816" s="429"/>
      <c r="G816" s="429"/>
      <c r="H816" s="429"/>
      <c r="I816" s="429"/>
      <c r="J816" s="429"/>
      <c r="K816" s="429"/>
      <c r="L816" s="429"/>
      <c r="M816" s="429"/>
    </row>
    <row r="817" spans="2:13" ht="15">
      <c r="B817" s="645"/>
      <c r="C817" s="429"/>
      <c r="D817" s="429"/>
      <c r="E817" s="429"/>
      <c r="F817" s="429"/>
      <c r="G817" s="429"/>
      <c r="H817" s="429"/>
      <c r="I817" s="429"/>
      <c r="J817" s="429"/>
      <c r="K817" s="429"/>
      <c r="L817" s="429"/>
      <c r="M817" s="429"/>
    </row>
    <row r="818" spans="2:13" ht="15">
      <c r="B818" s="645"/>
      <c r="C818" s="429"/>
      <c r="D818" s="429"/>
      <c r="E818" s="429"/>
      <c r="F818" s="429"/>
      <c r="G818" s="429"/>
      <c r="H818" s="429"/>
      <c r="I818" s="429"/>
      <c r="J818" s="429"/>
      <c r="K818" s="429"/>
      <c r="L818" s="429"/>
      <c r="M818" s="429"/>
    </row>
    <row r="819" spans="2:13" ht="15">
      <c r="B819" s="645"/>
      <c r="C819" s="429"/>
      <c r="D819" s="429"/>
      <c r="E819" s="429"/>
      <c r="F819" s="429"/>
      <c r="G819" s="429"/>
      <c r="H819" s="429"/>
      <c r="I819" s="429"/>
      <c r="J819" s="429"/>
      <c r="K819" s="429"/>
      <c r="L819" s="429"/>
      <c r="M819" s="429"/>
    </row>
    <row r="820" spans="2:13" ht="15">
      <c r="B820" s="645"/>
      <c r="C820" s="429"/>
      <c r="D820" s="429"/>
      <c r="E820" s="429"/>
      <c r="F820" s="429"/>
      <c r="G820" s="429"/>
      <c r="H820" s="429"/>
      <c r="I820" s="429"/>
      <c r="J820" s="429"/>
      <c r="K820" s="429"/>
      <c r="L820" s="429"/>
      <c r="M820" s="429"/>
    </row>
    <row r="821" spans="2:13" ht="15">
      <c r="B821" s="645"/>
      <c r="C821" s="429"/>
      <c r="D821" s="429"/>
      <c r="E821" s="429"/>
      <c r="F821" s="429"/>
      <c r="G821" s="429"/>
      <c r="H821" s="429"/>
      <c r="I821" s="429"/>
      <c r="J821" s="429"/>
      <c r="K821" s="429"/>
      <c r="L821" s="429"/>
      <c r="M821" s="429"/>
    </row>
    <row r="822" spans="2:13" ht="15">
      <c r="B822" s="645"/>
      <c r="C822" s="429"/>
      <c r="D822" s="429"/>
      <c r="E822" s="429"/>
      <c r="F822" s="429"/>
      <c r="G822" s="429"/>
      <c r="H822" s="429"/>
      <c r="I822" s="429"/>
      <c r="J822" s="429"/>
      <c r="K822" s="429"/>
      <c r="L822" s="429"/>
      <c r="M822" s="429"/>
    </row>
    <row r="823" spans="2:13" ht="15">
      <c r="B823" s="645"/>
      <c r="C823" s="429"/>
      <c r="D823" s="429"/>
      <c r="E823" s="429"/>
      <c r="F823" s="429"/>
      <c r="G823" s="429"/>
      <c r="H823" s="429"/>
      <c r="I823" s="429"/>
      <c r="J823" s="429"/>
      <c r="K823" s="429"/>
      <c r="L823" s="429"/>
      <c r="M823" s="429"/>
    </row>
    <row r="824" spans="2:13" ht="15">
      <c r="B824" s="645"/>
      <c r="C824" s="429"/>
      <c r="D824" s="429"/>
      <c r="E824" s="429"/>
      <c r="F824" s="429"/>
      <c r="G824" s="429"/>
      <c r="H824" s="429"/>
      <c r="I824" s="429"/>
      <c r="J824" s="429"/>
      <c r="K824" s="429"/>
      <c r="L824" s="429"/>
      <c r="M824" s="429"/>
    </row>
    <row r="825" spans="2:13" ht="15">
      <c r="B825" s="645"/>
      <c r="C825" s="429"/>
      <c r="D825" s="429"/>
      <c r="E825" s="429"/>
      <c r="F825" s="429"/>
      <c r="G825" s="429"/>
      <c r="H825" s="429"/>
      <c r="I825" s="429"/>
      <c r="J825" s="429"/>
      <c r="K825" s="429"/>
      <c r="L825" s="429"/>
      <c r="M825" s="429"/>
    </row>
    <row r="826" spans="2:13" ht="15">
      <c r="B826" s="645"/>
      <c r="C826" s="429"/>
      <c r="D826" s="429"/>
      <c r="E826" s="429"/>
      <c r="F826" s="429"/>
      <c r="G826" s="429"/>
      <c r="H826" s="429"/>
      <c r="I826" s="429"/>
      <c r="J826" s="429"/>
      <c r="K826" s="429"/>
      <c r="L826" s="429"/>
      <c r="M826" s="429"/>
    </row>
    <row r="827" spans="2:13" ht="15">
      <c r="B827" s="645"/>
      <c r="C827" s="429"/>
      <c r="D827" s="429"/>
      <c r="E827" s="429"/>
      <c r="F827" s="429"/>
      <c r="G827" s="429"/>
      <c r="H827" s="429"/>
      <c r="I827" s="429"/>
      <c r="J827" s="429"/>
      <c r="K827" s="429"/>
      <c r="L827" s="429"/>
      <c r="M827" s="429"/>
    </row>
    <row r="828" spans="2:13" ht="15">
      <c r="B828" s="645"/>
      <c r="C828" s="429"/>
      <c r="D828" s="429"/>
      <c r="E828" s="429"/>
      <c r="F828" s="429"/>
      <c r="G828" s="429"/>
      <c r="H828" s="429"/>
      <c r="I828" s="429"/>
      <c r="J828" s="429"/>
      <c r="K828" s="429"/>
      <c r="L828" s="429"/>
      <c r="M828" s="429"/>
    </row>
    <row r="829" spans="2:13" ht="15">
      <c r="B829" s="645"/>
      <c r="C829" s="429"/>
      <c r="D829" s="429"/>
      <c r="E829" s="429"/>
      <c r="F829" s="429"/>
      <c r="G829" s="429"/>
      <c r="H829" s="429"/>
      <c r="I829" s="429"/>
      <c r="J829" s="429"/>
      <c r="K829" s="429"/>
      <c r="L829" s="429"/>
      <c r="M829" s="429"/>
    </row>
    <row r="830" spans="2:13" ht="15">
      <c r="B830" s="645"/>
      <c r="C830" s="429"/>
      <c r="D830" s="429"/>
      <c r="E830" s="429"/>
      <c r="F830" s="429"/>
      <c r="G830" s="429"/>
      <c r="H830" s="429"/>
      <c r="I830" s="429"/>
      <c r="J830" s="429"/>
      <c r="K830" s="429"/>
      <c r="L830" s="429"/>
      <c r="M830" s="429"/>
    </row>
    <row r="831" spans="2:13" ht="15">
      <c r="B831" s="645"/>
      <c r="C831" s="429"/>
      <c r="D831" s="429"/>
      <c r="E831" s="429"/>
      <c r="F831" s="429"/>
      <c r="G831" s="429"/>
      <c r="H831" s="429"/>
      <c r="I831" s="429"/>
      <c r="J831" s="429"/>
      <c r="K831" s="429"/>
      <c r="L831" s="429"/>
      <c r="M831" s="429"/>
    </row>
    <row r="832" spans="2:13" ht="15">
      <c r="B832" s="645"/>
      <c r="C832" s="429"/>
      <c r="D832" s="429"/>
      <c r="E832" s="429"/>
      <c r="F832" s="429"/>
      <c r="G832" s="429"/>
      <c r="H832" s="429"/>
      <c r="I832" s="429"/>
      <c r="J832" s="429"/>
      <c r="K832" s="429"/>
      <c r="L832" s="429"/>
      <c r="M832" s="429"/>
    </row>
    <row r="833" spans="2:13" ht="15">
      <c r="B833" s="645"/>
      <c r="C833" s="429"/>
      <c r="D833" s="429"/>
      <c r="E833" s="429"/>
      <c r="F833" s="429"/>
      <c r="G833" s="429"/>
      <c r="H833" s="429"/>
      <c r="I833" s="429"/>
      <c r="J833" s="429"/>
      <c r="K833" s="429"/>
      <c r="L833" s="429"/>
      <c r="M833" s="429"/>
    </row>
    <row r="834" spans="2:13" ht="15">
      <c r="B834" s="645"/>
      <c r="C834" s="429"/>
      <c r="D834" s="429"/>
      <c r="E834" s="429"/>
      <c r="F834" s="429"/>
      <c r="G834" s="429"/>
      <c r="H834" s="429"/>
      <c r="I834" s="429"/>
      <c r="J834" s="429"/>
      <c r="K834" s="429"/>
      <c r="L834" s="429"/>
      <c r="M834" s="429"/>
    </row>
    <row r="835" spans="2:13" ht="15">
      <c r="B835" s="645"/>
      <c r="C835" s="429"/>
      <c r="D835" s="429"/>
      <c r="E835" s="429"/>
      <c r="F835" s="429"/>
      <c r="G835" s="429"/>
      <c r="H835" s="429"/>
      <c r="I835" s="429"/>
      <c r="J835" s="429"/>
      <c r="K835" s="429"/>
      <c r="L835" s="429"/>
      <c r="M835" s="429"/>
    </row>
    <row r="836" spans="2:13" ht="15">
      <c r="B836" s="645"/>
      <c r="C836" s="429"/>
      <c r="D836" s="429"/>
      <c r="E836" s="429"/>
      <c r="F836" s="429"/>
      <c r="G836" s="429"/>
      <c r="H836" s="429"/>
      <c r="I836" s="429"/>
      <c r="J836" s="429"/>
      <c r="K836" s="429"/>
      <c r="L836" s="429"/>
      <c r="M836" s="429"/>
    </row>
    <row r="837" spans="2:13" ht="15">
      <c r="B837" s="645"/>
      <c r="C837" s="429"/>
      <c r="D837" s="429"/>
      <c r="E837" s="429"/>
      <c r="F837" s="429"/>
      <c r="G837" s="429"/>
      <c r="H837" s="429"/>
      <c r="I837" s="429"/>
      <c r="J837" s="429"/>
      <c r="K837" s="429"/>
      <c r="L837" s="429"/>
      <c r="M837" s="429"/>
    </row>
    <row r="838" spans="2:13" ht="15">
      <c r="B838" s="645"/>
      <c r="C838" s="429"/>
      <c r="D838" s="429"/>
      <c r="E838" s="429"/>
      <c r="F838" s="429"/>
      <c r="G838" s="429"/>
      <c r="H838" s="429"/>
      <c r="I838" s="429"/>
      <c r="J838" s="429"/>
      <c r="K838" s="429"/>
      <c r="L838" s="429"/>
      <c r="M838" s="429"/>
    </row>
    <row r="839" spans="2:13" ht="15">
      <c r="B839" s="645"/>
      <c r="C839" s="429"/>
      <c r="D839" s="429"/>
      <c r="E839" s="429"/>
      <c r="F839" s="429"/>
      <c r="G839" s="429"/>
      <c r="H839" s="429"/>
      <c r="I839" s="429"/>
      <c r="J839" s="429"/>
      <c r="K839" s="429"/>
      <c r="L839" s="429"/>
      <c r="M839" s="429"/>
    </row>
    <row r="840" spans="2:13" ht="15">
      <c r="B840" s="645"/>
      <c r="C840" s="429"/>
      <c r="D840" s="429"/>
      <c r="E840" s="429"/>
      <c r="F840" s="429"/>
      <c r="G840" s="429"/>
      <c r="H840" s="429"/>
      <c r="I840" s="429"/>
      <c r="J840" s="429"/>
      <c r="K840" s="429"/>
      <c r="L840" s="429"/>
      <c r="M840" s="429"/>
    </row>
    <row r="841" spans="2:13" ht="15">
      <c r="B841" s="645"/>
      <c r="C841" s="429"/>
      <c r="D841" s="429"/>
      <c r="E841" s="429"/>
      <c r="F841" s="429"/>
      <c r="G841" s="429"/>
      <c r="H841" s="429"/>
      <c r="I841" s="429"/>
      <c r="J841" s="429"/>
      <c r="K841" s="429"/>
      <c r="L841" s="429"/>
      <c r="M841" s="429"/>
    </row>
    <row r="842" spans="2:13" ht="15">
      <c r="B842" s="645"/>
      <c r="C842" s="429"/>
      <c r="D842" s="429"/>
      <c r="E842" s="429"/>
      <c r="F842" s="429"/>
      <c r="G842" s="429"/>
      <c r="H842" s="429"/>
      <c r="I842" s="429"/>
      <c r="J842" s="429"/>
      <c r="K842" s="429"/>
      <c r="L842" s="429"/>
      <c r="M842" s="429"/>
    </row>
    <row r="843" spans="2:13" ht="15">
      <c r="B843" s="645"/>
      <c r="C843" s="429"/>
      <c r="D843" s="429"/>
      <c r="E843" s="429"/>
      <c r="F843" s="429"/>
      <c r="G843" s="429"/>
      <c r="H843" s="429"/>
      <c r="I843" s="429"/>
      <c r="J843" s="429"/>
      <c r="K843" s="429"/>
      <c r="L843" s="429"/>
      <c r="M843" s="429"/>
    </row>
    <row r="844" spans="2:13" ht="15">
      <c r="B844" s="645"/>
      <c r="C844" s="429"/>
      <c r="D844" s="429"/>
      <c r="E844" s="429"/>
      <c r="F844" s="429"/>
      <c r="G844" s="429"/>
      <c r="H844" s="429"/>
      <c r="I844" s="429"/>
      <c r="J844" s="429"/>
      <c r="K844" s="429"/>
      <c r="L844" s="429"/>
      <c r="M844" s="429"/>
    </row>
    <row r="845" spans="2:13" ht="15">
      <c r="B845" s="645"/>
      <c r="C845" s="429"/>
      <c r="D845" s="429"/>
      <c r="E845" s="429"/>
      <c r="F845" s="429"/>
      <c r="G845" s="429"/>
      <c r="H845" s="429"/>
      <c r="I845" s="429"/>
      <c r="J845" s="429"/>
      <c r="K845" s="429"/>
      <c r="L845" s="429"/>
      <c r="M845" s="429"/>
    </row>
    <row r="846" spans="2:13" ht="15">
      <c r="B846" s="645"/>
      <c r="C846" s="429"/>
      <c r="D846" s="429"/>
      <c r="E846" s="429"/>
      <c r="F846" s="429"/>
      <c r="G846" s="429"/>
      <c r="H846" s="429"/>
      <c r="I846" s="429"/>
      <c r="J846" s="429"/>
      <c r="K846" s="429"/>
      <c r="L846" s="429"/>
      <c r="M846" s="429"/>
    </row>
    <row r="847" spans="2:13" ht="15">
      <c r="B847" s="645"/>
      <c r="C847" s="429"/>
      <c r="D847" s="429"/>
      <c r="E847" s="429"/>
      <c r="F847" s="429"/>
      <c r="G847" s="429"/>
      <c r="H847" s="429"/>
      <c r="I847" s="429"/>
      <c r="J847" s="429"/>
      <c r="K847" s="429"/>
      <c r="L847" s="429"/>
      <c r="M847" s="429"/>
    </row>
    <row r="848" spans="2:13" ht="15">
      <c r="B848" s="645"/>
      <c r="C848" s="429"/>
      <c r="D848" s="429"/>
      <c r="E848" s="429"/>
      <c r="F848" s="429"/>
      <c r="G848" s="429"/>
      <c r="H848" s="429"/>
      <c r="I848" s="429"/>
      <c r="J848" s="429"/>
      <c r="K848" s="429"/>
      <c r="L848" s="429"/>
      <c r="M848" s="429"/>
    </row>
    <row r="849" spans="2:13" ht="15">
      <c r="B849" s="645"/>
      <c r="C849" s="429"/>
      <c r="D849" s="429"/>
      <c r="E849" s="429"/>
      <c r="F849" s="429"/>
      <c r="G849" s="429"/>
      <c r="H849" s="429"/>
      <c r="I849" s="429"/>
      <c r="J849" s="429"/>
      <c r="K849" s="429"/>
      <c r="L849" s="429"/>
      <c r="M849" s="429"/>
    </row>
    <row r="850" spans="2:13" ht="15">
      <c r="B850" s="645"/>
      <c r="C850" s="429"/>
      <c r="D850" s="429"/>
      <c r="E850" s="429"/>
      <c r="F850" s="429"/>
      <c r="G850" s="429"/>
      <c r="H850" s="429"/>
      <c r="I850" s="429"/>
      <c r="J850" s="429"/>
      <c r="K850" s="429"/>
      <c r="L850" s="429"/>
      <c r="M850" s="429"/>
    </row>
    <row r="851" spans="2:13" ht="15">
      <c r="B851" s="645"/>
      <c r="C851" s="429"/>
      <c r="D851" s="429"/>
      <c r="E851" s="429"/>
      <c r="F851" s="429"/>
      <c r="G851" s="429"/>
      <c r="H851" s="429"/>
      <c r="I851" s="429"/>
      <c r="J851" s="429"/>
      <c r="K851" s="429"/>
      <c r="L851" s="429"/>
      <c r="M851" s="429"/>
    </row>
    <row r="852" spans="2:13" ht="15">
      <c r="B852" s="645"/>
      <c r="C852" s="429"/>
      <c r="D852" s="429"/>
      <c r="E852" s="429"/>
      <c r="F852" s="429"/>
      <c r="G852" s="429"/>
      <c r="H852" s="429"/>
      <c r="I852" s="429"/>
      <c r="J852" s="429"/>
      <c r="K852" s="429"/>
      <c r="L852" s="429"/>
      <c r="M852" s="429"/>
    </row>
    <row r="853" spans="2:13" ht="15">
      <c r="B853" s="645"/>
      <c r="C853" s="429"/>
      <c r="D853" s="429"/>
      <c r="E853" s="429"/>
      <c r="F853" s="429"/>
      <c r="G853" s="429"/>
      <c r="H853" s="429"/>
      <c r="I853" s="429"/>
      <c r="J853" s="429"/>
      <c r="K853" s="429"/>
      <c r="L853" s="429"/>
      <c r="M853" s="429"/>
    </row>
    <row r="854" spans="2:13" ht="15">
      <c r="B854" s="645"/>
      <c r="C854" s="429"/>
      <c r="D854" s="429"/>
      <c r="E854" s="429"/>
      <c r="F854" s="429"/>
      <c r="G854" s="429"/>
      <c r="H854" s="429"/>
      <c r="I854" s="429"/>
      <c r="J854" s="429"/>
      <c r="K854" s="429"/>
      <c r="L854" s="429"/>
      <c r="M854" s="429"/>
    </row>
    <row r="855" spans="2:13" ht="15">
      <c r="B855" s="645"/>
      <c r="C855" s="429"/>
      <c r="D855" s="429"/>
      <c r="E855" s="429"/>
      <c r="F855" s="429"/>
      <c r="G855" s="429"/>
      <c r="H855" s="429"/>
      <c r="I855" s="429"/>
      <c r="J855" s="429"/>
      <c r="K855" s="429"/>
      <c r="L855" s="429"/>
      <c r="M855" s="429"/>
    </row>
    <row r="856" spans="2:13" ht="15">
      <c r="B856" s="645"/>
      <c r="C856" s="429"/>
      <c r="D856" s="429"/>
      <c r="E856" s="429"/>
      <c r="F856" s="429"/>
      <c r="G856" s="429"/>
      <c r="H856" s="429"/>
      <c r="I856" s="429"/>
      <c r="J856" s="429"/>
      <c r="K856" s="429"/>
      <c r="L856" s="429"/>
      <c r="M856" s="429"/>
    </row>
    <row r="857" spans="2:13" ht="15">
      <c r="B857" s="645"/>
      <c r="C857" s="429"/>
      <c r="D857" s="429"/>
      <c r="E857" s="429"/>
      <c r="F857" s="429"/>
      <c r="G857" s="429"/>
      <c r="H857" s="429"/>
      <c r="I857" s="429"/>
      <c r="J857" s="429"/>
      <c r="K857" s="429"/>
      <c r="L857" s="429"/>
      <c r="M857" s="429"/>
    </row>
    <row r="858" spans="2:13" ht="15">
      <c r="B858" s="645"/>
      <c r="C858" s="429"/>
      <c r="D858" s="429"/>
      <c r="E858" s="429"/>
      <c r="F858" s="429"/>
      <c r="G858" s="429"/>
      <c r="H858" s="429"/>
      <c r="I858" s="429"/>
      <c r="J858" s="429"/>
      <c r="K858" s="429"/>
      <c r="L858" s="429"/>
      <c r="M858" s="429"/>
    </row>
    <row r="859" spans="2:13" ht="15">
      <c r="B859" s="645"/>
      <c r="C859" s="429"/>
      <c r="D859" s="429"/>
      <c r="E859" s="429"/>
      <c r="F859" s="429"/>
      <c r="G859" s="429"/>
      <c r="H859" s="429"/>
      <c r="I859" s="429"/>
      <c r="J859" s="429"/>
      <c r="K859" s="429"/>
      <c r="L859" s="429"/>
      <c r="M859" s="429"/>
    </row>
    <row r="860" spans="2:13" ht="15">
      <c r="B860" s="645"/>
      <c r="C860" s="429"/>
      <c r="D860" s="429"/>
      <c r="E860" s="429"/>
      <c r="F860" s="429"/>
      <c r="G860" s="429"/>
      <c r="H860" s="429"/>
      <c r="I860" s="429"/>
      <c r="J860" s="429"/>
      <c r="K860" s="429"/>
      <c r="L860" s="429"/>
      <c r="M860" s="429"/>
    </row>
    <row r="861" spans="2:13" ht="15">
      <c r="B861" s="645"/>
      <c r="C861" s="429"/>
      <c r="D861" s="429"/>
      <c r="E861" s="429"/>
      <c r="F861" s="429"/>
      <c r="G861" s="429"/>
      <c r="H861" s="429"/>
      <c r="I861" s="429"/>
      <c r="J861" s="429"/>
      <c r="K861" s="429"/>
      <c r="L861" s="429"/>
      <c r="M861" s="429"/>
    </row>
    <row r="862" spans="2:13" ht="15">
      <c r="B862" s="645"/>
      <c r="C862" s="429"/>
      <c r="D862" s="429"/>
      <c r="E862" s="429"/>
      <c r="F862" s="429"/>
      <c r="G862" s="429"/>
      <c r="H862" s="429"/>
      <c r="I862" s="429"/>
      <c r="J862" s="429"/>
      <c r="K862" s="429"/>
      <c r="L862" s="429"/>
      <c r="M862" s="429"/>
    </row>
    <row r="863" spans="2:13" ht="15">
      <c r="B863" s="645"/>
      <c r="C863" s="429"/>
      <c r="D863" s="429"/>
      <c r="E863" s="429"/>
      <c r="F863" s="429"/>
      <c r="G863" s="429"/>
      <c r="H863" s="429"/>
      <c r="I863" s="429"/>
      <c r="J863" s="429"/>
      <c r="K863" s="429"/>
      <c r="L863" s="429"/>
      <c r="M863" s="429"/>
    </row>
    <row r="864" spans="2:13" ht="15">
      <c r="B864" s="645"/>
      <c r="C864" s="429"/>
      <c r="D864" s="429"/>
      <c r="E864" s="429"/>
      <c r="F864" s="429"/>
      <c r="G864" s="429"/>
      <c r="H864" s="429"/>
      <c r="I864" s="429"/>
      <c r="J864" s="429"/>
      <c r="K864" s="429"/>
      <c r="L864" s="429"/>
      <c r="M864" s="429"/>
    </row>
    <row r="865" spans="2:13" ht="15">
      <c r="B865" s="645"/>
      <c r="C865" s="429"/>
      <c r="D865" s="429"/>
      <c r="E865" s="429"/>
      <c r="F865" s="429"/>
      <c r="G865" s="429"/>
      <c r="H865" s="429"/>
      <c r="I865" s="429"/>
      <c r="J865" s="429"/>
      <c r="K865" s="429"/>
      <c r="L865" s="429"/>
      <c r="M865" s="429"/>
    </row>
    <row r="866" spans="2:13" ht="15">
      <c r="B866" s="645"/>
      <c r="C866" s="429"/>
      <c r="D866" s="429"/>
      <c r="E866" s="429"/>
      <c r="F866" s="429"/>
      <c r="G866" s="429"/>
      <c r="H866" s="429"/>
      <c r="I866" s="429"/>
      <c r="J866" s="429"/>
      <c r="K866" s="429"/>
      <c r="L866" s="429"/>
      <c r="M866" s="429"/>
    </row>
    <row r="867" spans="2:13" ht="15">
      <c r="B867" s="645"/>
      <c r="C867" s="429"/>
      <c r="D867" s="429"/>
      <c r="E867" s="429"/>
      <c r="F867" s="429"/>
      <c r="G867" s="429"/>
      <c r="H867" s="429"/>
      <c r="I867" s="429"/>
      <c r="J867" s="429"/>
      <c r="K867" s="429"/>
      <c r="L867" s="429"/>
      <c r="M867" s="429"/>
    </row>
    <row r="868" spans="2:13" ht="15">
      <c r="B868" s="645"/>
      <c r="C868" s="429"/>
      <c r="D868" s="429"/>
      <c r="E868" s="429"/>
      <c r="F868" s="429"/>
      <c r="G868" s="429"/>
      <c r="H868" s="429"/>
      <c r="I868" s="429"/>
      <c r="J868" s="429"/>
      <c r="K868" s="429"/>
      <c r="L868" s="429"/>
      <c r="M868" s="429"/>
    </row>
    <row r="869" spans="2:13" ht="15">
      <c r="B869" s="645"/>
      <c r="C869" s="429"/>
      <c r="D869" s="429"/>
      <c r="E869" s="429"/>
      <c r="F869" s="429"/>
      <c r="G869" s="429"/>
      <c r="H869" s="429"/>
      <c r="I869" s="429"/>
      <c r="J869" s="429"/>
      <c r="K869" s="429"/>
      <c r="L869" s="429"/>
      <c r="M869" s="429"/>
    </row>
    <row r="870" spans="2:13" ht="15">
      <c r="B870" s="645"/>
      <c r="C870" s="429"/>
      <c r="D870" s="429"/>
      <c r="E870" s="429"/>
      <c r="F870" s="429"/>
      <c r="G870" s="429"/>
      <c r="H870" s="429"/>
      <c r="I870" s="429"/>
      <c r="J870" s="429"/>
      <c r="K870" s="429"/>
      <c r="L870" s="429"/>
      <c r="M870" s="429"/>
    </row>
    <row r="871" spans="2:13" ht="15">
      <c r="B871" s="645"/>
      <c r="C871" s="429"/>
      <c r="D871" s="429"/>
      <c r="E871" s="429"/>
      <c r="F871" s="429"/>
      <c r="G871" s="429"/>
      <c r="H871" s="429"/>
      <c r="I871" s="429"/>
      <c r="J871" s="429"/>
      <c r="K871" s="429"/>
      <c r="L871" s="429"/>
      <c r="M871" s="429"/>
    </row>
    <row r="872" spans="2:13" ht="15">
      <c r="B872" s="645"/>
      <c r="C872" s="429"/>
      <c r="D872" s="429"/>
      <c r="E872" s="429"/>
      <c r="F872" s="429"/>
      <c r="G872" s="429"/>
      <c r="H872" s="429"/>
      <c r="I872" s="429"/>
      <c r="J872" s="429"/>
      <c r="K872" s="429"/>
      <c r="L872" s="429"/>
      <c r="M872" s="429"/>
    </row>
    <row r="873" spans="2:13" ht="15">
      <c r="B873" s="645"/>
      <c r="C873" s="429"/>
      <c r="D873" s="429"/>
      <c r="E873" s="429"/>
      <c r="F873" s="429"/>
      <c r="G873" s="429"/>
      <c r="H873" s="429"/>
      <c r="I873" s="429"/>
      <c r="J873" s="429"/>
      <c r="K873" s="429"/>
      <c r="L873" s="429"/>
      <c r="M873" s="429"/>
    </row>
    <row r="874" spans="2:13" ht="15">
      <c r="B874" s="645"/>
      <c r="C874" s="429"/>
      <c r="D874" s="429"/>
      <c r="E874" s="429"/>
      <c r="F874" s="429"/>
      <c r="G874" s="429"/>
      <c r="H874" s="429"/>
      <c r="I874" s="429"/>
      <c r="J874" s="429"/>
      <c r="K874" s="429"/>
      <c r="L874" s="429"/>
      <c r="M874" s="429"/>
    </row>
    <row r="875" spans="2:13" ht="15">
      <c r="B875" s="645"/>
      <c r="C875" s="429"/>
      <c r="D875" s="429"/>
      <c r="E875" s="429"/>
      <c r="F875" s="429"/>
      <c r="G875" s="429"/>
      <c r="H875" s="429"/>
      <c r="I875" s="429"/>
      <c r="J875" s="429"/>
      <c r="K875" s="429"/>
      <c r="L875" s="429"/>
      <c r="M875" s="429"/>
    </row>
    <row r="876" spans="2:13" ht="15">
      <c r="B876" s="645"/>
      <c r="C876" s="429"/>
      <c r="D876" s="429"/>
      <c r="E876" s="429"/>
      <c r="F876" s="429"/>
      <c r="G876" s="429"/>
      <c r="H876" s="429"/>
      <c r="I876" s="429"/>
      <c r="J876" s="429"/>
      <c r="K876" s="429"/>
      <c r="L876" s="429"/>
      <c r="M876" s="429"/>
    </row>
    <row r="877" spans="2:13" ht="15">
      <c r="B877" s="645"/>
      <c r="C877" s="429"/>
      <c r="D877" s="429"/>
      <c r="E877" s="429"/>
      <c r="F877" s="429"/>
      <c r="G877" s="429"/>
      <c r="H877" s="429"/>
      <c r="I877" s="429"/>
      <c r="J877" s="429"/>
      <c r="K877" s="429"/>
      <c r="L877" s="429"/>
      <c r="M877" s="429"/>
    </row>
    <row r="878" spans="2:13" ht="15">
      <c r="B878" s="645"/>
      <c r="C878" s="429"/>
      <c r="D878" s="429"/>
      <c r="E878" s="429"/>
      <c r="F878" s="429"/>
      <c r="G878" s="429"/>
      <c r="H878" s="429"/>
      <c r="I878" s="429"/>
      <c r="J878" s="429"/>
      <c r="K878" s="429"/>
      <c r="L878" s="429"/>
      <c r="M878" s="429"/>
    </row>
    <row r="879" spans="2:13" ht="15">
      <c r="B879" s="645"/>
      <c r="C879" s="429"/>
      <c r="D879" s="429"/>
      <c r="E879" s="429"/>
      <c r="F879" s="429"/>
      <c r="G879" s="429"/>
      <c r="H879" s="429"/>
      <c r="I879" s="429"/>
      <c r="J879" s="429"/>
      <c r="K879" s="429"/>
      <c r="L879" s="429"/>
      <c r="M879" s="429"/>
    </row>
    <row r="880" spans="2:13" ht="15">
      <c r="B880" s="645"/>
      <c r="C880" s="429"/>
      <c r="D880" s="429"/>
      <c r="E880" s="429"/>
      <c r="F880" s="429"/>
      <c r="G880" s="429"/>
      <c r="H880" s="429"/>
      <c r="I880" s="429"/>
      <c r="J880" s="429"/>
      <c r="K880" s="429"/>
      <c r="L880" s="429"/>
      <c r="M880" s="429"/>
    </row>
    <row r="881" spans="2:13" ht="15">
      <c r="B881" s="645"/>
      <c r="C881" s="429"/>
      <c r="D881" s="429"/>
      <c r="E881" s="429"/>
      <c r="F881" s="429"/>
      <c r="G881" s="429"/>
      <c r="H881" s="429"/>
      <c r="I881" s="429"/>
      <c r="J881" s="429"/>
      <c r="K881" s="429"/>
      <c r="L881" s="429"/>
      <c r="M881" s="429"/>
    </row>
    <row r="882" spans="2:13" ht="15">
      <c r="B882" s="645"/>
      <c r="C882" s="429"/>
      <c r="D882" s="429"/>
      <c r="E882" s="429"/>
      <c r="F882" s="429"/>
      <c r="G882" s="429"/>
      <c r="H882" s="429"/>
      <c r="I882" s="429"/>
      <c r="J882" s="429"/>
      <c r="K882" s="429"/>
      <c r="L882" s="429"/>
      <c r="M882" s="429"/>
    </row>
    <row r="883" spans="2:13" ht="15">
      <c r="B883" s="645"/>
      <c r="C883" s="429"/>
      <c r="D883" s="429"/>
      <c r="E883" s="429"/>
      <c r="F883" s="429"/>
      <c r="G883" s="429"/>
      <c r="H883" s="429"/>
      <c r="I883" s="429"/>
      <c r="J883" s="429"/>
      <c r="K883" s="429"/>
      <c r="L883" s="429"/>
      <c r="M883" s="429"/>
    </row>
    <row r="884" spans="2:13" ht="15">
      <c r="B884" s="645"/>
      <c r="C884" s="429"/>
      <c r="D884" s="429"/>
      <c r="E884" s="429"/>
      <c r="F884" s="429"/>
      <c r="G884" s="429"/>
      <c r="H884" s="429"/>
      <c r="I884" s="429"/>
      <c r="J884" s="429"/>
      <c r="K884" s="429"/>
      <c r="L884" s="429"/>
      <c r="M884" s="429"/>
    </row>
    <row r="885" spans="2:13" ht="15">
      <c r="B885" s="645"/>
      <c r="C885" s="429"/>
      <c r="D885" s="429"/>
      <c r="E885" s="429"/>
      <c r="F885" s="429"/>
      <c r="G885" s="429"/>
      <c r="H885" s="429"/>
      <c r="I885" s="429"/>
      <c r="J885" s="429"/>
      <c r="K885" s="429"/>
      <c r="L885" s="429"/>
      <c r="M885" s="429"/>
    </row>
    <row r="886" spans="2:13" ht="15">
      <c r="B886" s="645"/>
      <c r="C886" s="429"/>
      <c r="D886" s="429"/>
      <c r="E886" s="429"/>
      <c r="F886" s="429"/>
      <c r="G886" s="429"/>
      <c r="H886" s="429"/>
      <c r="I886" s="429"/>
      <c r="J886" s="429"/>
      <c r="K886" s="429"/>
      <c r="L886" s="429"/>
      <c r="M886" s="429"/>
    </row>
    <row r="887" spans="2:13" ht="15">
      <c r="B887" s="645"/>
      <c r="C887" s="429"/>
      <c r="D887" s="429"/>
      <c r="E887" s="429"/>
      <c r="F887" s="429"/>
      <c r="G887" s="429"/>
      <c r="H887" s="429"/>
      <c r="I887" s="429"/>
      <c r="J887" s="429"/>
      <c r="K887" s="429"/>
      <c r="L887" s="429"/>
      <c r="M887" s="429"/>
    </row>
    <row r="888" spans="2:13" ht="15">
      <c r="B888" s="645"/>
      <c r="C888" s="429"/>
      <c r="D888" s="429"/>
      <c r="E888" s="429"/>
      <c r="F888" s="429"/>
      <c r="G888" s="429"/>
      <c r="H888" s="429"/>
      <c r="I888" s="429"/>
      <c r="J888" s="429"/>
      <c r="K888" s="429"/>
      <c r="L888" s="429"/>
      <c r="M888" s="429"/>
    </row>
    <row r="889" spans="2:13" ht="15">
      <c r="B889" s="645"/>
      <c r="C889" s="429"/>
      <c r="D889" s="429"/>
      <c r="E889" s="429"/>
      <c r="F889" s="429"/>
      <c r="G889" s="429"/>
      <c r="H889" s="429"/>
      <c r="I889" s="429"/>
      <c r="J889" s="429"/>
      <c r="K889" s="429"/>
      <c r="L889" s="429"/>
      <c r="M889" s="429"/>
    </row>
    <row r="890" spans="2:13" ht="15">
      <c r="B890" s="645"/>
      <c r="C890" s="429"/>
      <c r="D890" s="429"/>
      <c r="E890" s="429"/>
      <c r="F890" s="429"/>
      <c r="G890" s="429"/>
      <c r="H890" s="429"/>
      <c r="I890" s="429"/>
      <c r="J890" s="429"/>
      <c r="K890" s="429"/>
      <c r="L890" s="429"/>
      <c r="M890" s="429"/>
    </row>
    <row r="891" spans="2:13" ht="15">
      <c r="B891" s="645"/>
      <c r="C891" s="429"/>
      <c r="D891" s="429"/>
      <c r="E891" s="429"/>
      <c r="F891" s="429"/>
      <c r="G891" s="429"/>
      <c r="H891" s="429"/>
      <c r="I891" s="429"/>
      <c r="J891" s="429"/>
      <c r="K891" s="429"/>
      <c r="L891" s="429"/>
      <c r="M891" s="429"/>
    </row>
    <row r="892" spans="2:13" ht="15">
      <c r="B892" s="645"/>
      <c r="C892" s="429"/>
      <c r="D892" s="429"/>
      <c r="E892" s="429"/>
      <c r="F892" s="429"/>
      <c r="G892" s="429"/>
      <c r="H892" s="429"/>
      <c r="I892" s="429"/>
      <c r="J892" s="429"/>
      <c r="K892" s="429"/>
      <c r="L892" s="429"/>
      <c r="M892" s="429"/>
    </row>
    <row r="893" spans="2:13" ht="15">
      <c r="B893" s="645"/>
      <c r="C893" s="429"/>
      <c r="D893" s="429"/>
      <c r="E893" s="429"/>
      <c r="F893" s="429"/>
      <c r="G893" s="429"/>
      <c r="H893" s="429"/>
      <c r="I893" s="429"/>
      <c r="J893" s="429"/>
      <c r="K893" s="429"/>
      <c r="L893" s="429"/>
      <c r="M893" s="429"/>
    </row>
    <row r="894" spans="2:13" ht="15">
      <c r="B894" s="645"/>
      <c r="C894" s="429"/>
      <c r="D894" s="429"/>
      <c r="E894" s="429"/>
      <c r="F894" s="429"/>
      <c r="G894" s="429"/>
      <c r="H894" s="429"/>
      <c r="I894" s="429"/>
      <c r="J894" s="429"/>
      <c r="K894" s="429"/>
      <c r="L894" s="429"/>
      <c r="M894" s="429"/>
    </row>
    <row r="895" spans="2:13" ht="15">
      <c r="B895" s="645"/>
      <c r="C895" s="429"/>
      <c r="D895" s="429"/>
      <c r="E895" s="429"/>
      <c r="F895" s="429"/>
      <c r="G895" s="429"/>
      <c r="H895" s="429"/>
      <c r="I895" s="429"/>
      <c r="J895" s="429"/>
      <c r="K895" s="429"/>
      <c r="L895" s="429"/>
      <c r="M895" s="429"/>
    </row>
    <row r="896" spans="2:13" ht="15">
      <c r="B896" s="645"/>
      <c r="C896" s="429"/>
      <c r="D896" s="429"/>
      <c r="E896" s="429"/>
      <c r="F896" s="429"/>
      <c r="G896" s="429"/>
      <c r="H896" s="429"/>
      <c r="I896" s="429"/>
      <c r="J896" s="429"/>
      <c r="K896" s="429"/>
      <c r="L896" s="429"/>
      <c r="M896" s="429"/>
    </row>
    <row r="897" spans="2:13" ht="15">
      <c r="B897" s="645"/>
      <c r="C897" s="429"/>
      <c r="D897" s="429"/>
      <c r="E897" s="429"/>
      <c r="F897" s="429"/>
      <c r="G897" s="429"/>
      <c r="H897" s="429"/>
      <c r="I897" s="429"/>
      <c r="J897" s="429"/>
      <c r="K897" s="429"/>
      <c r="L897" s="429"/>
      <c r="M897" s="429"/>
    </row>
    <row r="898" spans="2:13" ht="15">
      <c r="B898" s="645"/>
      <c r="C898" s="429"/>
      <c r="D898" s="429"/>
      <c r="E898" s="429"/>
      <c r="F898" s="429"/>
      <c r="G898" s="429"/>
      <c r="H898" s="429"/>
      <c r="I898" s="429"/>
      <c r="J898" s="429"/>
      <c r="K898" s="429"/>
      <c r="L898" s="429"/>
      <c r="M898" s="429"/>
    </row>
    <row r="899" spans="2:13" ht="15">
      <c r="B899" s="645"/>
      <c r="C899" s="429"/>
      <c r="D899" s="429"/>
      <c r="E899" s="429"/>
      <c r="F899" s="429"/>
      <c r="G899" s="429"/>
      <c r="H899" s="429"/>
      <c r="I899" s="429"/>
      <c r="J899" s="429"/>
      <c r="K899" s="429"/>
      <c r="L899" s="429"/>
      <c r="M899" s="429"/>
    </row>
    <row r="900" spans="2:13" ht="15">
      <c r="B900" s="645"/>
      <c r="C900" s="429"/>
      <c r="D900" s="429"/>
      <c r="E900" s="429"/>
      <c r="F900" s="429"/>
      <c r="G900" s="429"/>
      <c r="H900" s="429"/>
      <c r="I900" s="429"/>
      <c r="J900" s="429"/>
      <c r="K900" s="429"/>
      <c r="L900" s="429"/>
      <c r="M900" s="429"/>
    </row>
    <row r="901" spans="2:13" ht="15">
      <c r="B901" s="645"/>
      <c r="C901" s="429"/>
      <c r="D901" s="429"/>
      <c r="E901" s="429"/>
      <c r="F901" s="429"/>
      <c r="G901" s="429"/>
      <c r="H901" s="429"/>
      <c r="I901" s="429"/>
      <c r="J901" s="429"/>
      <c r="K901" s="429"/>
      <c r="L901" s="429"/>
      <c r="M901" s="429"/>
    </row>
    <row r="902" spans="2:13" ht="15">
      <c r="B902" s="645"/>
      <c r="C902" s="429"/>
      <c r="D902" s="429"/>
      <c r="E902" s="429"/>
      <c r="F902" s="429"/>
      <c r="G902" s="429"/>
      <c r="H902" s="429"/>
      <c r="I902" s="429"/>
      <c r="J902" s="429"/>
      <c r="K902" s="429"/>
      <c r="L902" s="429"/>
      <c r="M902" s="429"/>
    </row>
    <row r="903" spans="2:13" ht="15">
      <c r="B903" s="645"/>
      <c r="C903" s="429"/>
      <c r="D903" s="429"/>
      <c r="E903" s="429"/>
      <c r="F903" s="429"/>
      <c r="G903" s="429"/>
      <c r="H903" s="429"/>
      <c r="I903" s="429"/>
      <c r="J903" s="429"/>
      <c r="K903" s="429"/>
      <c r="L903" s="429"/>
      <c r="M903" s="429"/>
    </row>
    <row r="904" spans="2:13" ht="15">
      <c r="B904" s="645"/>
      <c r="C904" s="429"/>
      <c r="D904" s="429"/>
      <c r="E904" s="429"/>
      <c r="F904" s="429"/>
      <c r="G904" s="429"/>
      <c r="H904" s="429"/>
      <c r="I904" s="429"/>
      <c r="J904" s="429"/>
      <c r="K904" s="429"/>
      <c r="L904" s="429"/>
      <c r="M904" s="429"/>
    </row>
    <row r="905" spans="2:13" ht="15">
      <c r="B905" s="645"/>
      <c r="C905" s="429"/>
      <c r="D905" s="429"/>
      <c r="E905" s="429"/>
      <c r="F905" s="429"/>
      <c r="G905" s="429"/>
      <c r="H905" s="429"/>
      <c r="I905" s="429"/>
      <c r="J905" s="429"/>
      <c r="K905" s="429"/>
      <c r="L905" s="429"/>
      <c r="M905" s="429"/>
    </row>
    <row r="906" spans="2:13" ht="15">
      <c r="B906" s="645"/>
      <c r="C906" s="429"/>
      <c r="D906" s="429"/>
      <c r="E906" s="429"/>
      <c r="F906" s="429"/>
      <c r="G906" s="429"/>
      <c r="H906" s="429"/>
      <c r="I906" s="429"/>
      <c r="J906" s="429"/>
      <c r="K906" s="429"/>
      <c r="L906" s="429"/>
      <c r="M906" s="429"/>
    </row>
    <row r="907" spans="2:13" ht="15">
      <c r="B907" s="645"/>
      <c r="C907" s="429"/>
      <c r="D907" s="429"/>
      <c r="E907" s="429"/>
      <c r="F907" s="429"/>
      <c r="G907" s="429"/>
      <c r="H907" s="429"/>
      <c r="I907" s="429"/>
      <c r="J907" s="429"/>
      <c r="K907" s="429"/>
      <c r="L907" s="429"/>
      <c r="M907" s="429"/>
    </row>
    <row r="908" spans="2:13" ht="15">
      <c r="B908" s="645"/>
      <c r="C908" s="429"/>
      <c r="D908" s="429"/>
      <c r="E908" s="429"/>
      <c r="F908" s="429"/>
      <c r="G908" s="429"/>
      <c r="H908" s="429"/>
      <c r="I908" s="429"/>
      <c r="J908" s="429"/>
      <c r="K908" s="429"/>
      <c r="L908" s="429"/>
      <c r="M908" s="429"/>
    </row>
    <row r="909" spans="2:13" ht="15">
      <c r="B909" s="645"/>
      <c r="C909" s="429"/>
      <c r="D909" s="429"/>
      <c r="E909" s="429"/>
      <c r="F909" s="429"/>
      <c r="G909" s="429"/>
      <c r="H909" s="429"/>
      <c r="I909" s="429"/>
      <c r="J909" s="429"/>
      <c r="K909" s="429"/>
      <c r="L909" s="429"/>
      <c r="M909" s="429"/>
    </row>
    <row r="910" spans="2:13" ht="15">
      <c r="B910" s="645"/>
      <c r="C910" s="429"/>
      <c r="D910" s="429"/>
      <c r="E910" s="429"/>
      <c r="F910" s="429"/>
      <c r="G910" s="429"/>
      <c r="H910" s="429"/>
      <c r="I910" s="429"/>
      <c r="J910" s="429"/>
      <c r="K910" s="429"/>
      <c r="L910" s="429"/>
      <c r="M910" s="429"/>
    </row>
    <row r="911" spans="2:13" ht="15">
      <c r="B911" s="645"/>
      <c r="C911" s="429"/>
      <c r="D911" s="429"/>
      <c r="E911" s="429"/>
      <c r="F911" s="429"/>
      <c r="G911" s="429"/>
      <c r="H911" s="429"/>
      <c r="I911" s="429"/>
      <c r="J911" s="429"/>
      <c r="K911" s="429"/>
      <c r="L911" s="429"/>
      <c r="M911" s="429"/>
    </row>
    <row r="912" spans="2:13" ht="15">
      <c r="B912" s="645"/>
      <c r="C912" s="429"/>
      <c r="D912" s="429"/>
      <c r="E912" s="429"/>
      <c r="F912" s="429"/>
      <c r="G912" s="429"/>
      <c r="H912" s="429"/>
      <c r="I912" s="429"/>
      <c r="J912" s="429"/>
      <c r="K912" s="429"/>
      <c r="L912" s="429"/>
      <c r="M912" s="429"/>
    </row>
    <row r="913" spans="2:13" ht="15">
      <c r="B913" s="645"/>
      <c r="C913" s="429"/>
      <c r="D913" s="429"/>
      <c r="E913" s="429"/>
      <c r="F913" s="429"/>
      <c r="G913" s="429"/>
      <c r="H913" s="429"/>
      <c r="I913" s="429"/>
      <c r="J913" s="429"/>
      <c r="K913" s="429"/>
      <c r="L913" s="429"/>
      <c r="M913" s="429"/>
    </row>
    <row r="914" spans="2:13" ht="15">
      <c r="B914" s="645"/>
      <c r="C914" s="429"/>
      <c r="D914" s="429"/>
      <c r="E914" s="429"/>
      <c r="F914" s="429"/>
      <c r="G914" s="429"/>
      <c r="H914" s="429"/>
      <c r="I914" s="429"/>
      <c r="J914" s="429"/>
      <c r="K914" s="429"/>
      <c r="L914" s="429"/>
      <c r="M914" s="429"/>
    </row>
    <row r="915" spans="2:13" ht="15">
      <c r="B915" s="645"/>
      <c r="C915" s="429"/>
      <c r="D915" s="429"/>
      <c r="E915" s="429"/>
      <c r="F915" s="429"/>
      <c r="G915" s="429"/>
      <c r="H915" s="429"/>
      <c r="I915" s="429"/>
      <c r="J915" s="429"/>
      <c r="K915" s="429"/>
      <c r="L915" s="429"/>
      <c r="M915" s="429"/>
    </row>
    <row r="916" spans="2:13" ht="15">
      <c r="B916" s="645"/>
      <c r="C916" s="429"/>
      <c r="D916" s="429"/>
      <c r="E916" s="429"/>
      <c r="F916" s="429"/>
      <c r="G916" s="429"/>
      <c r="H916" s="429"/>
      <c r="I916" s="429"/>
      <c r="J916" s="429"/>
      <c r="K916" s="429"/>
      <c r="L916" s="429"/>
      <c r="M916" s="429"/>
    </row>
    <row r="917" spans="2:13" ht="15">
      <c r="B917" s="645"/>
      <c r="C917" s="429"/>
      <c r="D917" s="429"/>
      <c r="E917" s="429"/>
      <c r="F917" s="429"/>
      <c r="G917" s="429"/>
      <c r="H917" s="429"/>
      <c r="I917" s="429"/>
      <c r="J917" s="429"/>
      <c r="K917" s="429"/>
      <c r="L917" s="429"/>
      <c r="M917" s="429"/>
    </row>
    <row r="918" spans="2:13" ht="15">
      <c r="B918" s="645"/>
      <c r="C918" s="429"/>
      <c r="D918" s="429"/>
      <c r="E918" s="429"/>
      <c r="F918" s="429"/>
      <c r="G918" s="429"/>
      <c r="H918" s="429"/>
      <c r="I918" s="429"/>
      <c r="J918" s="429"/>
      <c r="K918" s="429"/>
      <c r="L918" s="429"/>
      <c r="M918" s="429"/>
    </row>
    <row r="919" spans="2:13" ht="15">
      <c r="B919" s="645"/>
      <c r="C919" s="429"/>
      <c r="D919" s="429"/>
      <c r="E919" s="429"/>
      <c r="F919" s="429"/>
      <c r="G919" s="429"/>
      <c r="H919" s="429"/>
      <c r="I919" s="429"/>
      <c r="J919" s="429"/>
      <c r="K919" s="429"/>
      <c r="L919" s="429"/>
      <c r="M919" s="429"/>
    </row>
    <row r="920" spans="2:13" ht="15">
      <c r="B920" s="645"/>
      <c r="C920" s="429"/>
      <c r="D920" s="429"/>
      <c r="E920" s="429"/>
      <c r="F920" s="429"/>
      <c r="G920" s="429"/>
      <c r="H920" s="429"/>
      <c r="I920" s="429"/>
      <c r="J920" s="429"/>
      <c r="K920" s="429"/>
      <c r="L920" s="429"/>
      <c r="M920" s="429"/>
    </row>
    <row r="921" spans="2:13" ht="15">
      <c r="B921" s="645"/>
      <c r="C921" s="429"/>
      <c r="D921" s="429"/>
      <c r="E921" s="429"/>
      <c r="F921" s="429"/>
      <c r="G921" s="429"/>
      <c r="H921" s="429"/>
      <c r="I921" s="429"/>
      <c r="J921" s="429"/>
      <c r="K921" s="429"/>
      <c r="L921" s="429"/>
      <c r="M921" s="429"/>
    </row>
    <row r="922" spans="2:13" ht="15">
      <c r="B922" s="645"/>
      <c r="C922" s="429"/>
      <c r="D922" s="429"/>
      <c r="E922" s="429"/>
      <c r="F922" s="429"/>
      <c r="G922" s="429"/>
      <c r="H922" s="429"/>
      <c r="I922" s="429"/>
      <c r="J922" s="429"/>
      <c r="K922" s="429"/>
      <c r="L922" s="429"/>
      <c r="M922" s="429"/>
    </row>
    <row r="923" spans="2:13" ht="15">
      <c r="B923" s="645"/>
      <c r="C923" s="429"/>
      <c r="D923" s="429"/>
      <c r="E923" s="429"/>
      <c r="F923" s="429"/>
      <c r="G923" s="429"/>
      <c r="H923" s="429"/>
      <c r="I923" s="429"/>
      <c r="J923" s="429"/>
      <c r="K923" s="429"/>
      <c r="L923" s="429"/>
      <c r="M923" s="429"/>
    </row>
    <row r="924" spans="2:13" ht="15">
      <c r="B924" s="645"/>
      <c r="C924" s="429"/>
      <c r="D924" s="429"/>
      <c r="E924" s="429"/>
      <c r="F924" s="429"/>
      <c r="G924" s="429"/>
      <c r="H924" s="429"/>
      <c r="I924" s="429"/>
      <c r="J924" s="429"/>
      <c r="K924" s="429"/>
      <c r="L924" s="429"/>
      <c r="M924" s="429"/>
    </row>
    <row r="925" spans="2:13" ht="15">
      <c r="B925" s="645"/>
      <c r="C925" s="429"/>
      <c r="D925" s="429"/>
      <c r="E925" s="429"/>
      <c r="F925" s="429"/>
      <c r="G925" s="429"/>
      <c r="H925" s="429"/>
      <c r="I925" s="429"/>
      <c r="J925" s="429"/>
      <c r="K925" s="429"/>
      <c r="L925" s="429"/>
      <c r="M925" s="429"/>
    </row>
    <row r="926" spans="2:13" ht="15">
      <c r="B926" s="645"/>
      <c r="C926" s="429"/>
      <c r="D926" s="429"/>
      <c r="E926" s="429"/>
      <c r="F926" s="429"/>
      <c r="G926" s="429"/>
      <c r="H926" s="429"/>
      <c r="I926" s="429"/>
      <c r="J926" s="429"/>
      <c r="K926" s="429"/>
      <c r="L926" s="429"/>
      <c r="M926" s="429"/>
    </row>
    <row r="927" spans="2:13" ht="15">
      <c r="B927" s="645"/>
      <c r="C927" s="429"/>
      <c r="D927" s="429"/>
      <c r="E927" s="429"/>
      <c r="F927" s="429"/>
      <c r="G927" s="429"/>
      <c r="H927" s="429"/>
      <c r="I927" s="429"/>
      <c r="J927" s="429"/>
      <c r="K927" s="429"/>
      <c r="L927" s="429"/>
      <c r="M927" s="429"/>
    </row>
    <row r="928" spans="2:13" ht="15">
      <c r="B928" s="645"/>
      <c r="C928" s="429"/>
      <c r="D928" s="429"/>
      <c r="E928" s="429"/>
      <c r="F928" s="429"/>
      <c r="G928" s="429"/>
      <c r="H928" s="429"/>
      <c r="I928" s="429"/>
      <c r="J928" s="429"/>
      <c r="K928" s="429"/>
      <c r="L928" s="429"/>
      <c r="M928" s="429"/>
    </row>
    <row r="929" spans="2:13" ht="15">
      <c r="B929" s="645"/>
      <c r="C929" s="429"/>
      <c r="D929" s="429"/>
      <c r="E929" s="429"/>
      <c r="F929" s="429"/>
      <c r="G929" s="429"/>
      <c r="H929" s="429"/>
      <c r="I929" s="429"/>
      <c r="J929" s="429"/>
      <c r="K929" s="429"/>
      <c r="L929" s="429"/>
      <c r="M929" s="429"/>
    </row>
    <row r="930" spans="2:13" ht="15">
      <c r="B930" s="645"/>
      <c r="C930" s="429"/>
      <c r="D930" s="429"/>
      <c r="E930" s="429"/>
      <c r="F930" s="429"/>
      <c r="G930" s="429"/>
      <c r="H930" s="429"/>
      <c r="I930" s="429"/>
      <c r="J930" s="429"/>
      <c r="K930" s="429"/>
      <c r="L930" s="429"/>
      <c r="M930" s="429"/>
    </row>
    <row r="931" spans="2:13" ht="15">
      <c r="B931" s="645"/>
      <c r="C931" s="429"/>
      <c r="D931" s="429"/>
      <c r="E931" s="429"/>
      <c r="F931" s="429"/>
      <c r="G931" s="429"/>
      <c r="H931" s="429"/>
      <c r="I931" s="429"/>
      <c r="J931" s="429"/>
      <c r="K931" s="429"/>
      <c r="L931" s="429"/>
      <c r="M931" s="429"/>
    </row>
    <row r="932" spans="2:13" ht="15">
      <c r="B932" s="645"/>
      <c r="C932" s="429"/>
      <c r="D932" s="429"/>
      <c r="E932" s="429"/>
      <c r="F932" s="429"/>
      <c r="G932" s="429"/>
      <c r="H932" s="429"/>
      <c r="I932" s="429"/>
      <c r="J932" s="429"/>
      <c r="K932" s="429"/>
      <c r="L932" s="429"/>
      <c r="M932" s="429"/>
    </row>
    <row r="933" spans="2:13" ht="15">
      <c r="B933" s="645"/>
      <c r="C933" s="429"/>
      <c r="D933" s="429"/>
      <c r="E933" s="429"/>
      <c r="F933" s="429"/>
      <c r="G933" s="429"/>
      <c r="H933" s="429"/>
      <c r="I933" s="429"/>
      <c r="J933" s="429"/>
      <c r="K933" s="429"/>
      <c r="L933" s="429"/>
      <c r="M933" s="429"/>
    </row>
    <row r="934" spans="2:13" ht="15">
      <c r="B934" s="645"/>
      <c r="C934" s="429"/>
      <c r="D934" s="429"/>
      <c r="E934" s="429"/>
      <c r="F934" s="429"/>
      <c r="G934" s="429"/>
      <c r="H934" s="429"/>
      <c r="I934" s="429"/>
      <c r="J934" s="429"/>
      <c r="K934" s="429"/>
      <c r="L934" s="429"/>
      <c r="M934" s="429"/>
    </row>
    <row r="935" spans="2:13" ht="15">
      <c r="B935" s="645"/>
      <c r="C935" s="429"/>
      <c r="D935" s="429"/>
      <c r="E935" s="429"/>
      <c r="F935" s="429"/>
      <c r="G935" s="429"/>
      <c r="H935" s="429"/>
      <c r="I935" s="429"/>
      <c r="J935" s="429"/>
      <c r="K935" s="429"/>
      <c r="L935" s="429"/>
      <c r="M935" s="429"/>
    </row>
    <row r="936" spans="2:13" ht="15">
      <c r="B936" s="645"/>
      <c r="C936" s="429"/>
      <c r="D936" s="429"/>
      <c r="E936" s="429"/>
      <c r="F936" s="429"/>
      <c r="G936" s="429"/>
      <c r="H936" s="429"/>
      <c r="I936" s="429"/>
      <c r="J936" s="429"/>
      <c r="K936" s="429"/>
      <c r="L936" s="429"/>
      <c r="M936" s="429"/>
    </row>
    <row r="937" spans="2:13" ht="15">
      <c r="B937" s="645"/>
      <c r="C937" s="429"/>
      <c r="D937" s="429"/>
      <c r="E937" s="429"/>
      <c r="F937" s="429"/>
      <c r="G937" s="429"/>
      <c r="H937" s="429"/>
      <c r="I937" s="429"/>
      <c r="J937" s="429"/>
      <c r="K937" s="429"/>
      <c r="L937" s="429"/>
      <c r="M937" s="429"/>
    </row>
    <row r="938" spans="2:13" ht="15">
      <c r="B938" s="645"/>
      <c r="C938" s="429"/>
      <c r="D938" s="429"/>
      <c r="E938" s="429"/>
      <c r="F938" s="429"/>
      <c r="G938" s="429"/>
      <c r="H938" s="429"/>
      <c r="I938" s="429"/>
      <c r="J938" s="429"/>
      <c r="K938" s="429"/>
      <c r="L938" s="429"/>
      <c r="M938" s="429"/>
    </row>
    <row r="939" spans="2:13" ht="15">
      <c r="B939" s="645"/>
      <c r="C939" s="429"/>
      <c r="D939" s="429"/>
      <c r="E939" s="429"/>
      <c r="F939" s="429"/>
      <c r="G939" s="429"/>
      <c r="H939" s="429"/>
      <c r="I939" s="429"/>
      <c r="J939" s="429"/>
      <c r="K939" s="429"/>
      <c r="L939" s="429"/>
      <c r="M939" s="429"/>
    </row>
    <row r="940" spans="2:13" ht="15">
      <c r="B940" s="645"/>
      <c r="C940" s="429"/>
      <c r="D940" s="429"/>
      <c r="E940" s="429"/>
      <c r="F940" s="429"/>
      <c r="G940" s="429"/>
      <c r="H940" s="429"/>
      <c r="I940" s="429"/>
      <c r="J940" s="429"/>
      <c r="K940" s="429"/>
      <c r="L940" s="429"/>
      <c r="M940" s="429"/>
    </row>
    <row r="941" spans="2:13" ht="15">
      <c r="B941" s="645"/>
      <c r="C941" s="429"/>
      <c r="D941" s="429"/>
      <c r="E941" s="429"/>
      <c r="F941" s="429"/>
      <c r="G941" s="429"/>
      <c r="H941" s="429"/>
      <c r="I941" s="429"/>
      <c r="J941" s="429"/>
      <c r="K941" s="429"/>
      <c r="L941" s="429"/>
      <c r="M941" s="429"/>
    </row>
    <row r="942" spans="2:13" ht="15">
      <c r="B942" s="645"/>
      <c r="C942" s="429"/>
      <c r="D942" s="429"/>
      <c r="E942" s="429"/>
      <c r="F942" s="429"/>
      <c r="G942" s="429"/>
      <c r="H942" s="429"/>
      <c r="I942" s="429"/>
      <c r="J942" s="429"/>
      <c r="K942" s="429"/>
      <c r="L942" s="429"/>
      <c r="M942" s="429"/>
    </row>
    <row r="943" spans="2:13" ht="15">
      <c r="B943" s="645"/>
      <c r="C943" s="429"/>
      <c r="D943" s="429"/>
      <c r="E943" s="429"/>
      <c r="F943" s="429"/>
      <c r="G943" s="429"/>
      <c r="H943" s="429"/>
      <c r="I943" s="429"/>
      <c r="J943" s="429"/>
      <c r="K943" s="429"/>
      <c r="L943" s="429"/>
      <c r="M943" s="429"/>
    </row>
    <row r="944" spans="2:13" ht="15">
      <c r="B944" s="645"/>
      <c r="C944" s="429"/>
      <c r="D944" s="429"/>
      <c r="E944" s="429"/>
      <c r="F944" s="429"/>
      <c r="G944" s="429"/>
      <c r="H944" s="429"/>
      <c r="I944" s="429"/>
      <c r="J944" s="429"/>
      <c r="K944" s="429"/>
      <c r="L944" s="429"/>
      <c r="M944" s="429"/>
    </row>
    <row r="945" spans="2:13" ht="15">
      <c r="B945" s="645"/>
      <c r="C945" s="429"/>
      <c r="D945" s="429"/>
      <c r="E945" s="429"/>
      <c r="F945" s="429"/>
      <c r="G945" s="429"/>
      <c r="H945" s="429"/>
      <c r="I945" s="429"/>
      <c r="J945" s="429"/>
      <c r="K945" s="429"/>
      <c r="L945" s="429"/>
      <c r="M945" s="429"/>
    </row>
    <row r="946" spans="2:13" ht="15">
      <c r="B946" s="645"/>
      <c r="C946" s="429"/>
      <c r="D946" s="429"/>
      <c r="E946" s="429"/>
      <c r="F946" s="429"/>
      <c r="G946" s="429"/>
      <c r="H946" s="429"/>
      <c r="I946" s="429"/>
      <c r="J946" s="429"/>
      <c r="K946" s="429"/>
      <c r="L946" s="429"/>
      <c r="M946" s="429"/>
    </row>
    <row r="947" spans="2:13" ht="15">
      <c r="B947" s="645"/>
      <c r="C947" s="429"/>
      <c r="D947" s="429"/>
      <c r="E947" s="429"/>
      <c r="F947" s="429"/>
      <c r="G947" s="429"/>
      <c r="H947" s="429"/>
      <c r="I947" s="429"/>
      <c r="J947" s="429"/>
      <c r="K947" s="429"/>
      <c r="L947" s="429"/>
      <c r="M947" s="429"/>
    </row>
    <row r="948" spans="2:13" ht="15">
      <c r="B948" s="645"/>
      <c r="C948" s="429"/>
      <c r="D948" s="429"/>
      <c r="E948" s="429"/>
      <c r="F948" s="429"/>
      <c r="G948" s="429"/>
      <c r="H948" s="429"/>
      <c r="I948" s="429"/>
      <c r="J948" s="429"/>
      <c r="K948" s="429"/>
      <c r="L948" s="429"/>
      <c r="M948" s="429"/>
    </row>
    <row r="949" spans="2:13" ht="15">
      <c r="B949" s="645"/>
      <c r="C949" s="429"/>
      <c r="D949" s="429"/>
      <c r="E949" s="429"/>
      <c r="F949" s="429"/>
      <c r="G949" s="429"/>
      <c r="H949" s="429"/>
      <c r="I949" s="429"/>
      <c r="J949" s="429"/>
      <c r="K949" s="429"/>
      <c r="L949" s="429"/>
      <c r="M949" s="429"/>
    </row>
    <row r="950" spans="2:13" ht="15">
      <c r="B950" s="645"/>
      <c r="C950" s="429"/>
      <c r="D950" s="429"/>
      <c r="E950" s="429"/>
      <c r="F950" s="429"/>
      <c r="G950" s="429"/>
      <c r="H950" s="429"/>
      <c r="I950" s="429"/>
      <c r="J950" s="429"/>
      <c r="K950" s="429"/>
      <c r="L950" s="429"/>
      <c r="M950" s="429"/>
    </row>
    <row r="951" spans="2:13" ht="15">
      <c r="B951" s="645"/>
      <c r="C951" s="429"/>
      <c r="D951" s="429"/>
      <c r="E951" s="429"/>
      <c r="F951" s="429"/>
      <c r="G951" s="429"/>
      <c r="H951" s="429"/>
      <c r="I951" s="429"/>
      <c r="J951" s="429"/>
      <c r="K951" s="429"/>
      <c r="L951" s="429"/>
      <c r="M951" s="429"/>
    </row>
    <row r="952" spans="2:13" ht="15">
      <c r="B952" s="645"/>
      <c r="C952" s="429"/>
      <c r="D952" s="429"/>
      <c r="E952" s="429"/>
      <c r="F952" s="429"/>
      <c r="G952" s="429"/>
      <c r="H952" s="429"/>
      <c r="I952" s="429"/>
      <c r="J952" s="429"/>
      <c r="K952" s="429"/>
      <c r="L952" s="429"/>
      <c r="M952" s="429"/>
    </row>
    <row r="953" spans="2:13" ht="15">
      <c r="B953" s="645"/>
      <c r="C953" s="429"/>
      <c r="D953" s="429"/>
      <c r="E953" s="429"/>
      <c r="F953" s="429"/>
      <c r="G953" s="429"/>
      <c r="H953" s="429"/>
      <c r="I953" s="429"/>
      <c r="J953" s="429"/>
      <c r="K953" s="429"/>
      <c r="L953" s="429"/>
      <c r="M953" s="429"/>
    </row>
    <row r="954" spans="2:13" ht="15">
      <c r="B954" s="645"/>
      <c r="C954" s="429"/>
      <c r="D954" s="429"/>
      <c r="E954" s="429"/>
      <c r="F954" s="429"/>
      <c r="G954" s="429"/>
      <c r="H954" s="429"/>
      <c r="I954" s="429"/>
      <c r="J954" s="429"/>
      <c r="K954" s="429"/>
      <c r="L954" s="429"/>
      <c r="M954" s="429"/>
    </row>
    <row r="955" spans="2:13" ht="15">
      <c r="B955" s="645"/>
      <c r="C955" s="429"/>
      <c r="D955" s="429"/>
      <c r="E955" s="429"/>
      <c r="F955" s="429"/>
      <c r="G955" s="429"/>
      <c r="H955" s="429"/>
      <c r="I955" s="429"/>
      <c r="J955" s="429"/>
      <c r="K955" s="429"/>
      <c r="L955" s="429"/>
      <c r="M955" s="429"/>
    </row>
    <row r="956" spans="2:13" ht="15">
      <c r="B956" s="645"/>
      <c r="C956" s="429"/>
      <c r="D956" s="429"/>
      <c r="E956" s="429"/>
      <c r="F956" s="429"/>
      <c r="G956" s="429"/>
      <c r="H956" s="429"/>
      <c r="I956" s="429"/>
      <c r="J956" s="429"/>
      <c r="K956" s="429"/>
      <c r="L956" s="429"/>
      <c r="M956" s="429"/>
    </row>
    <row r="957" spans="2:13" ht="15">
      <c r="B957" s="645"/>
      <c r="C957" s="429"/>
      <c r="D957" s="429"/>
      <c r="E957" s="429"/>
      <c r="F957" s="429"/>
      <c r="G957" s="429"/>
      <c r="H957" s="429"/>
      <c r="I957" s="429"/>
      <c r="J957" s="429"/>
      <c r="K957" s="429"/>
      <c r="L957" s="429"/>
      <c r="M957" s="429"/>
    </row>
    <row r="958" spans="2:13" ht="15">
      <c r="B958" s="645"/>
      <c r="C958" s="429"/>
      <c r="D958" s="429"/>
      <c r="E958" s="429"/>
      <c r="F958" s="429"/>
      <c r="G958" s="429"/>
      <c r="H958" s="429"/>
      <c r="I958" s="429"/>
      <c r="J958" s="429"/>
      <c r="K958" s="429"/>
      <c r="L958" s="429"/>
      <c r="M958" s="429"/>
    </row>
    <row r="959" spans="2:13" ht="15">
      <c r="B959" s="645"/>
      <c r="C959" s="429"/>
      <c r="D959" s="429"/>
      <c r="E959" s="429"/>
      <c r="F959" s="429"/>
      <c r="G959" s="429"/>
      <c r="H959" s="429"/>
      <c r="I959" s="429"/>
      <c r="J959" s="429"/>
      <c r="K959" s="429"/>
      <c r="L959" s="429"/>
      <c r="M959" s="429"/>
    </row>
    <row r="960" spans="2:13" ht="15">
      <c r="B960" s="645"/>
      <c r="C960" s="429"/>
      <c r="D960" s="429"/>
      <c r="E960" s="429"/>
      <c r="F960" s="429"/>
      <c r="G960" s="429"/>
      <c r="H960" s="429"/>
      <c r="I960" s="429"/>
      <c r="J960" s="429"/>
      <c r="K960" s="429"/>
      <c r="L960" s="429"/>
      <c r="M960" s="429"/>
    </row>
    <row r="961" spans="2:13" ht="15">
      <c r="B961" s="645"/>
      <c r="C961" s="429"/>
      <c r="D961" s="429"/>
      <c r="E961" s="429"/>
      <c r="F961" s="429"/>
      <c r="G961" s="429"/>
      <c r="H961" s="429"/>
      <c r="I961" s="429"/>
      <c r="J961" s="429"/>
      <c r="K961" s="429"/>
      <c r="L961" s="429"/>
      <c r="M961" s="429"/>
    </row>
    <row r="962" spans="2:13" ht="15">
      <c r="B962" s="645"/>
      <c r="C962" s="429"/>
      <c r="D962" s="429"/>
      <c r="E962" s="429"/>
      <c r="F962" s="429"/>
      <c r="G962" s="429"/>
      <c r="H962" s="429"/>
      <c r="I962" s="429"/>
      <c r="J962" s="429"/>
      <c r="K962" s="429"/>
      <c r="L962" s="429"/>
      <c r="M962" s="429"/>
    </row>
    <row r="963" spans="2:13" ht="15">
      <c r="B963" s="645"/>
      <c r="C963" s="429"/>
      <c r="D963" s="429"/>
      <c r="E963" s="429"/>
      <c r="F963" s="429"/>
      <c r="G963" s="429"/>
      <c r="H963" s="429"/>
      <c r="I963" s="429"/>
      <c r="J963" s="429"/>
      <c r="K963" s="429"/>
      <c r="L963" s="429"/>
      <c r="M963" s="429"/>
    </row>
    <row r="964" spans="2:13" ht="15">
      <c r="B964" s="645"/>
      <c r="C964" s="429"/>
      <c r="D964" s="429"/>
      <c r="E964" s="429"/>
      <c r="F964" s="429"/>
      <c r="G964" s="429"/>
      <c r="H964" s="429"/>
      <c r="I964" s="429"/>
      <c r="J964" s="429"/>
      <c r="K964" s="429"/>
      <c r="L964" s="429"/>
      <c r="M964" s="429"/>
    </row>
    <row r="965" spans="2:13" ht="15">
      <c r="B965" s="645"/>
      <c r="C965" s="429"/>
      <c r="D965" s="429"/>
      <c r="E965" s="429"/>
      <c r="F965" s="429"/>
      <c r="G965" s="429"/>
      <c r="H965" s="429"/>
      <c r="I965" s="429"/>
      <c r="J965" s="429"/>
      <c r="K965" s="429"/>
      <c r="L965" s="429"/>
      <c r="M965" s="429"/>
    </row>
    <row r="966" spans="2:13" ht="15">
      <c r="B966" s="645"/>
      <c r="C966" s="429"/>
      <c r="D966" s="429"/>
      <c r="E966" s="429"/>
      <c r="F966" s="429"/>
      <c r="G966" s="429"/>
      <c r="H966" s="429"/>
      <c r="I966" s="429"/>
      <c r="J966" s="429"/>
      <c r="K966" s="429"/>
      <c r="L966" s="429"/>
      <c r="M966" s="429"/>
    </row>
    <row r="967" spans="2:13" ht="15">
      <c r="B967" s="645"/>
      <c r="C967" s="429"/>
      <c r="D967" s="429"/>
      <c r="E967" s="429"/>
      <c r="F967" s="429"/>
      <c r="G967" s="429"/>
      <c r="H967" s="429"/>
      <c r="I967" s="429"/>
      <c r="J967" s="429"/>
      <c r="K967" s="429"/>
      <c r="L967" s="429"/>
      <c r="M967" s="429"/>
    </row>
    <row r="968" spans="2:13" ht="15">
      <c r="B968" s="645"/>
      <c r="C968" s="429"/>
      <c r="D968" s="429"/>
      <c r="E968" s="429"/>
      <c r="F968" s="429"/>
      <c r="G968" s="429"/>
      <c r="H968" s="429"/>
      <c r="I968" s="429"/>
      <c r="J968" s="429"/>
      <c r="K968" s="429"/>
      <c r="L968" s="429"/>
      <c r="M968" s="429"/>
    </row>
    <row r="969" spans="2:13" ht="15">
      <c r="B969" s="645"/>
      <c r="C969" s="429"/>
      <c r="D969" s="429"/>
      <c r="E969" s="429"/>
      <c r="F969" s="429"/>
      <c r="G969" s="429"/>
      <c r="H969" s="429"/>
      <c r="I969" s="429"/>
      <c r="J969" s="429"/>
      <c r="K969" s="429"/>
      <c r="L969" s="429"/>
      <c r="M969" s="429"/>
    </row>
    <row r="970" spans="2:13" ht="15">
      <c r="B970" s="645"/>
      <c r="C970" s="429"/>
      <c r="D970" s="429"/>
      <c r="E970" s="429"/>
      <c r="F970" s="429"/>
      <c r="G970" s="429"/>
      <c r="H970" s="429"/>
      <c r="I970" s="429"/>
      <c r="J970" s="429"/>
      <c r="K970" s="429"/>
      <c r="L970" s="429"/>
      <c r="M970" s="429"/>
    </row>
    <row r="971" spans="2:13" ht="15">
      <c r="B971" s="645"/>
      <c r="C971" s="429"/>
      <c r="D971" s="429"/>
      <c r="E971" s="429"/>
      <c r="F971" s="429"/>
      <c r="G971" s="429"/>
      <c r="H971" s="429"/>
      <c r="I971" s="429"/>
      <c r="J971" s="429"/>
      <c r="K971" s="429"/>
      <c r="L971" s="429"/>
      <c r="M971" s="429"/>
    </row>
    <row r="972" spans="2:13" ht="15">
      <c r="B972" s="645"/>
      <c r="C972" s="429"/>
      <c r="D972" s="429"/>
      <c r="E972" s="429"/>
      <c r="F972" s="429"/>
      <c r="G972" s="429"/>
      <c r="H972" s="429"/>
      <c r="I972" s="429"/>
      <c r="J972" s="429"/>
      <c r="K972" s="429"/>
      <c r="L972" s="429"/>
      <c r="M972" s="429"/>
    </row>
    <row r="973" spans="2:13" ht="15">
      <c r="B973" s="645"/>
      <c r="C973" s="429"/>
      <c r="D973" s="429"/>
      <c r="E973" s="429"/>
      <c r="F973" s="429"/>
      <c r="G973" s="429"/>
      <c r="H973" s="429"/>
      <c r="I973" s="429"/>
      <c r="J973" s="429"/>
      <c r="K973" s="429"/>
      <c r="L973" s="429"/>
      <c r="M973" s="429"/>
    </row>
    <row r="974" spans="2:13" ht="15">
      <c r="B974" s="645"/>
      <c r="C974" s="429"/>
      <c r="D974" s="429"/>
      <c r="E974" s="429"/>
      <c r="F974" s="429"/>
      <c r="G974" s="429"/>
      <c r="H974" s="429"/>
      <c r="I974" s="429"/>
      <c r="J974" s="429"/>
      <c r="K974" s="429"/>
      <c r="L974" s="429"/>
      <c r="M974" s="429"/>
    </row>
    <row r="975" spans="2:13" ht="15">
      <c r="B975" s="645"/>
      <c r="C975" s="429"/>
      <c r="D975" s="429"/>
      <c r="E975" s="429"/>
      <c r="F975" s="429"/>
      <c r="G975" s="429"/>
      <c r="H975" s="429"/>
      <c r="I975" s="429"/>
      <c r="J975" s="429"/>
      <c r="K975" s="429"/>
      <c r="L975" s="429"/>
      <c r="M975" s="429"/>
    </row>
    <row r="976" spans="2:13" ht="15">
      <c r="B976" s="645"/>
      <c r="C976" s="429"/>
      <c r="D976" s="429"/>
      <c r="E976" s="429"/>
      <c r="F976" s="429"/>
      <c r="G976" s="429"/>
      <c r="H976" s="429"/>
      <c r="I976" s="429"/>
      <c r="J976" s="429"/>
      <c r="K976" s="429"/>
      <c r="L976" s="429"/>
      <c r="M976" s="429"/>
    </row>
    <row r="977" spans="2:13" ht="15">
      <c r="B977" s="645"/>
      <c r="C977" s="429"/>
      <c r="D977" s="429"/>
      <c r="E977" s="429"/>
      <c r="F977" s="429"/>
      <c r="G977" s="429"/>
      <c r="H977" s="429"/>
      <c r="I977" s="429"/>
      <c r="J977" s="429"/>
      <c r="K977" s="429"/>
      <c r="L977" s="429"/>
      <c r="M977" s="429"/>
    </row>
    <row r="978" spans="2:13" ht="15">
      <c r="B978" s="645"/>
      <c r="C978" s="429"/>
      <c r="D978" s="429"/>
      <c r="E978" s="429"/>
      <c r="F978" s="429"/>
      <c r="G978" s="429"/>
      <c r="H978" s="429"/>
      <c r="I978" s="429"/>
      <c r="J978" s="429"/>
      <c r="K978" s="429"/>
      <c r="L978" s="429"/>
      <c r="M978" s="429"/>
    </row>
    <row r="979" spans="2:13" ht="15">
      <c r="B979" s="645"/>
      <c r="C979" s="429"/>
      <c r="D979" s="429"/>
      <c r="E979" s="429"/>
      <c r="F979" s="429"/>
      <c r="G979" s="429"/>
      <c r="H979" s="429"/>
      <c r="I979" s="429"/>
      <c r="J979" s="429"/>
      <c r="K979" s="429"/>
      <c r="L979" s="429"/>
      <c r="M979" s="429"/>
    </row>
    <row r="980" spans="2:13" ht="15">
      <c r="B980" s="645"/>
      <c r="C980" s="429"/>
      <c r="D980" s="429"/>
      <c r="E980" s="429"/>
      <c r="F980" s="429"/>
      <c r="G980" s="429"/>
      <c r="H980" s="429"/>
      <c r="I980" s="429"/>
      <c r="J980" s="429"/>
      <c r="K980" s="429"/>
      <c r="L980" s="429"/>
      <c r="M980" s="429"/>
    </row>
    <row r="981" spans="2:13" ht="15">
      <c r="B981" s="645"/>
      <c r="C981" s="429"/>
      <c r="D981" s="429"/>
      <c r="E981" s="429"/>
      <c r="F981" s="429"/>
      <c r="G981" s="429"/>
      <c r="H981" s="429"/>
      <c r="I981" s="429"/>
      <c r="J981" s="429"/>
      <c r="K981" s="429"/>
      <c r="L981" s="429"/>
      <c r="M981" s="429"/>
    </row>
    <row r="982" spans="2:13" ht="15">
      <c r="B982" s="645"/>
      <c r="C982" s="429"/>
      <c r="D982" s="429"/>
      <c r="E982" s="429"/>
      <c r="F982" s="429"/>
      <c r="G982" s="429"/>
      <c r="H982" s="429"/>
      <c r="I982" s="429"/>
      <c r="J982" s="429"/>
      <c r="K982" s="429"/>
      <c r="L982" s="429"/>
      <c r="M982" s="429"/>
    </row>
    <row r="983" spans="2:13" ht="15">
      <c r="B983" s="645"/>
      <c r="C983" s="429"/>
      <c r="D983" s="429"/>
      <c r="E983" s="429"/>
      <c r="F983" s="429"/>
      <c r="G983" s="429"/>
      <c r="H983" s="429"/>
      <c r="I983" s="429"/>
      <c r="J983" s="429"/>
      <c r="K983" s="429"/>
      <c r="L983" s="429"/>
      <c r="M983" s="429"/>
    </row>
    <row r="984" spans="2:13" ht="15">
      <c r="B984" s="645"/>
      <c r="C984" s="429"/>
      <c r="D984" s="429"/>
      <c r="E984" s="429"/>
      <c r="F984" s="429"/>
      <c r="G984" s="429"/>
      <c r="H984" s="429"/>
      <c r="I984" s="429"/>
      <c r="J984" s="429"/>
      <c r="K984" s="429"/>
      <c r="L984" s="429"/>
      <c r="M984" s="429"/>
    </row>
    <row r="985" spans="2:13" ht="15">
      <c r="B985" s="645"/>
      <c r="C985" s="429"/>
      <c r="D985" s="429"/>
      <c r="E985" s="429"/>
      <c r="F985" s="429"/>
      <c r="G985" s="429"/>
      <c r="H985" s="429"/>
      <c r="I985" s="429"/>
      <c r="J985" s="429"/>
      <c r="K985" s="429"/>
      <c r="L985" s="429"/>
      <c r="M985" s="429"/>
    </row>
    <row r="986" spans="2:13" ht="15">
      <c r="B986" s="645"/>
      <c r="C986" s="429"/>
      <c r="D986" s="429"/>
      <c r="E986" s="429"/>
      <c r="F986" s="429"/>
      <c r="G986" s="429"/>
      <c r="H986" s="429"/>
      <c r="I986" s="429"/>
      <c r="J986" s="429"/>
      <c r="K986" s="429"/>
      <c r="L986" s="429"/>
      <c r="M986" s="429"/>
    </row>
    <row r="987" spans="2:13" ht="15">
      <c r="B987" s="645"/>
      <c r="C987" s="429"/>
      <c r="D987" s="429"/>
      <c r="E987" s="429"/>
      <c r="F987" s="429"/>
      <c r="G987" s="429"/>
      <c r="H987" s="429"/>
      <c r="I987" s="429"/>
      <c r="J987" s="429"/>
      <c r="K987" s="429"/>
      <c r="L987" s="429"/>
      <c r="M987" s="429"/>
    </row>
    <row r="988" spans="2:13" ht="15">
      <c r="B988" s="645"/>
      <c r="C988" s="429"/>
      <c r="D988" s="429"/>
      <c r="E988" s="429"/>
      <c r="F988" s="429"/>
      <c r="G988" s="429"/>
      <c r="H988" s="429"/>
      <c r="I988" s="429"/>
      <c r="J988" s="429"/>
      <c r="K988" s="429"/>
      <c r="L988" s="429"/>
      <c r="M988" s="429"/>
    </row>
    <row r="989" spans="2:13" ht="15">
      <c r="B989" s="645"/>
      <c r="C989" s="429"/>
      <c r="D989" s="429"/>
      <c r="E989" s="429"/>
      <c r="F989" s="429"/>
      <c r="G989" s="429"/>
      <c r="H989" s="429"/>
      <c r="I989" s="429"/>
      <c r="J989" s="429"/>
      <c r="K989" s="429"/>
      <c r="L989" s="429"/>
      <c r="M989" s="429"/>
    </row>
    <row r="990" spans="2:13" ht="15">
      <c r="B990" s="645"/>
      <c r="C990" s="429"/>
      <c r="D990" s="429"/>
      <c r="E990" s="429"/>
      <c r="F990" s="429"/>
      <c r="G990" s="429"/>
      <c r="H990" s="429"/>
      <c r="I990" s="429"/>
      <c r="J990" s="429"/>
      <c r="K990" s="429"/>
      <c r="L990" s="429"/>
      <c r="M990" s="429"/>
    </row>
    <row r="991" spans="2:13" ht="15">
      <c r="B991" s="645"/>
      <c r="C991" s="429"/>
      <c r="D991" s="429"/>
      <c r="E991" s="429"/>
      <c r="F991" s="429"/>
      <c r="G991" s="429"/>
      <c r="H991" s="429"/>
      <c r="I991" s="429"/>
      <c r="J991" s="429"/>
      <c r="K991" s="429"/>
      <c r="L991" s="429"/>
      <c r="M991" s="429"/>
    </row>
    <row r="992" spans="2:13" ht="15">
      <c r="B992" s="645"/>
      <c r="C992" s="429"/>
      <c r="D992" s="429"/>
      <c r="E992" s="429"/>
      <c r="F992" s="429"/>
      <c r="G992" s="429"/>
      <c r="H992" s="429"/>
      <c r="I992" s="429"/>
      <c r="J992" s="429"/>
      <c r="K992" s="429"/>
      <c r="L992" s="429"/>
      <c r="M992" s="429"/>
    </row>
    <row r="993" spans="2:13" ht="15">
      <c r="B993" s="645"/>
      <c r="C993" s="429"/>
      <c r="D993" s="429"/>
      <c r="E993" s="429"/>
      <c r="F993" s="429"/>
      <c r="G993" s="429"/>
      <c r="H993" s="429"/>
      <c r="I993" s="429"/>
      <c r="J993" s="429"/>
      <c r="K993" s="429"/>
      <c r="L993" s="429"/>
      <c r="M993" s="429"/>
    </row>
    <row r="994" spans="2:13" ht="15">
      <c r="B994" s="645"/>
      <c r="C994" s="429"/>
      <c r="D994" s="429"/>
      <c r="E994" s="429"/>
      <c r="F994" s="429"/>
      <c r="G994" s="429"/>
      <c r="H994" s="429"/>
      <c r="I994" s="429"/>
      <c r="J994" s="429"/>
      <c r="K994" s="429"/>
      <c r="L994" s="429"/>
      <c r="M994" s="429"/>
    </row>
    <row r="995" spans="2:13" ht="15">
      <c r="B995" s="645"/>
      <c r="C995" s="429"/>
      <c r="D995" s="429"/>
      <c r="E995" s="429"/>
      <c r="F995" s="429"/>
      <c r="G995" s="429"/>
      <c r="H995" s="429"/>
      <c r="I995" s="429"/>
      <c r="J995" s="429"/>
      <c r="K995" s="429"/>
      <c r="L995" s="429"/>
      <c r="M995" s="429"/>
    </row>
    <row r="996" spans="2:13" ht="15">
      <c r="B996" s="645"/>
      <c r="C996" s="429"/>
      <c r="D996" s="429"/>
      <c r="E996" s="429"/>
      <c r="F996" s="429"/>
      <c r="G996" s="429"/>
      <c r="H996" s="429"/>
      <c r="I996" s="429"/>
      <c r="J996" s="429"/>
      <c r="K996" s="429"/>
      <c r="L996" s="429"/>
      <c r="M996" s="429"/>
    </row>
    <row r="997" spans="2:13" ht="15">
      <c r="B997" s="645"/>
      <c r="C997" s="429"/>
      <c r="D997" s="429"/>
      <c r="E997" s="429"/>
      <c r="F997" s="429"/>
      <c r="G997" s="429"/>
      <c r="H997" s="429"/>
      <c r="I997" s="429"/>
      <c r="J997" s="429"/>
      <c r="K997" s="429"/>
      <c r="L997" s="429"/>
      <c r="M997" s="429"/>
    </row>
    <row r="998" spans="2:13" ht="15">
      <c r="B998" s="645"/>
      <c r="C998" s="429"/>
      <c r="D998" s="429"/>
      <c r="E998" s="429"/>
      <c r="F998" s="429"/>
      <c r="G998" s="429"/>
      <c r="H998" s="429"/>
      <c r="I998" s="429"/>
      <c r="J998" s="429"/>
      <c r="K998" s="429"/>
      <c r="L998" s="429"/>
      <c r="M998" s="429"/>
    </row>
    <row r="999" spans="2:13" ht="15">
      <c r="B999" s="645"/>
      <c r="C999" s="429"/>
      <c r="D999" s="429"/>
      <c r="E999" s="429"/>
      <c r="F999" s="429"/>
      <c r="G999" s="429"/>
      <c r="H999" s="429"/>
      <c r="I999" s="429"/>
      <c r="J999" s="429"/>
      <c r="K999" s="429"/>
      <c r="L999" s="429"/>
      <c r="M999" s="429"/>
    </row>
    <row r="1000" spans="2:13" ht="15">
      <c r="B1000" s="645"/>
      <c r="C1000" s="429"/>
      <c r="D1000" s="429"/>
      <c r="E1000" s="429"/>
      <c r="F1000" s="429"/>
      <c r="G1000" s="429"/>
      <c r="H1000" s="429"/>
      <c r="I1000" s="429"/>
      <c r="J1000" s="429"/>
      <c r="K1000" s="429"/>
      <c r="L1000" s="429"/>
      <c r="M1000" s="429"/>
    </row>
    <row r="1001" spans="2:13" ht="15">
      <c r="B1001" s="645"/>
      <c r="C1001" s="429"/>
      <c r="D1001" s="429"/>
      <c r="E1001" s="429"/>
      <c r="F1001" s="429"/>
      <c r="G1001" s="429"/>
      <c r="H1001" s="429"/>
      <c r="I1001" s="429"/>
      <c r="J1001" s="429"/>
      <c r="K1001" s="429"/>
      <c r="L1001" s="429"/>
      <c r="M1001" s="429"/>
    </row>
    <row r="1002" spans="2:13" ht="15">
      <c r="B1002" s="645"/>
      <c r="C1002" s="429"/>
      <c r="D1002" s="429"/>
      <c r="E1002" s="429"/>
      <c r="F1002" s="429"/>
      <c r="G1002" s="429"/>
      <c r="H1002" s="429"/>
      <c r="I1002" s="429"/>
      <c r="J1002" s="429"/>
      <c r="K1002" s="429"/>
      <c r="L1002" s="429"/>
      <c r="M1002" s="429"/>
    </row>
    <row r="1003" spans="2:13" ht="15">
      <c r="B1003" s="645"/>
      <c r="C1003" s="429"/>
      <c r="D1003" s="429"/>
      <c r="E1003" s="429"/>
      <c r="F1003" s="429"/>
      <c r="G1003" s="429"/>
      <c r="H1003" s="429"/>
      <c r="I1003" s="429"/>
      <c r="J1003" s="429"/>
      <c r="K1003" s="429"/>
      <c r="L1003" s="429"/>
      <c r="M1003" s="429"/>
    </row>
    <row r="1004" spans="2:13" ht="15">
      <c r="B1004" s="645"/>
      <c r="C1004" s="429"/>
      <c r="D1004" s="429"/>
      <c r="E1004" s="429"/>
      <c r="F1004" s="429"/>
      <c r="G1004" s="429"/>
      <c r="H1004" s="429"/>
      <c r="I1004" s="429"/>
      <c r="J1004" s="429"/>
      <c r="K1004" s="429"/>
      <c r="L1004" s="429"/>
      <c r="M1004" s="429"/>
    </row>
    <row r="1005" spans="2:13" ht="15">
      <c r="B1005" s="645"/>
      <c r="C1005" s="429"/>
      <c r="D1005" s="429"/>
      <c r="E1005" s="429"/>
      <c r="F1005" s="429"/>
      <c r="G1005" s="429"/>
      <c r="H1005" s="429"/>
      <c r="I1005" s="429"/>
      <c r="J1005" s="429"/>
      <c r="K1005" s="429"/>
      <c r="L1005" s="429"/>
      <c r="M1005" s="429"/>
    </row>
    <row r="1006" spans="2:13" ht="15">
      <c r="B1006" s="645"/>
      <c r="C1006" s="429"/>
      <c r="D1006" s="429"/>
      <c r="E1006" s="429"/>
      <c r="F1006" s="429"/>
      <c r="G1006" s="429"/>
      <c r="H1006" s="429"/>
      <c r="I1006" s="429"/>
      <c r="J1006" s="429"/>
      <c r="K1006" s="429"/>
      <c r="L1006" s="429"/>
      <c r="M1006" s="429"/>
    </row>
    <row r="1007" spans="2:13" ht="15">
      <c r="B1007" s="645"/>
      <c r="C1007" s="429"/>
      <c r="D1007" s="429"/>
      <c r="E1007" s="429"/>
      <c r="F1007" s="429"/>
      <c r="G1007" s="429"/>
      <c r="H1007" s="429"/>
      <c r="I1007" s="429"/>
      <c r="J1007" s="429"/>
      <c r="K1007" s="429"/>
      <c r="L1007" s="429"/>
      <c r="M1007" s="429"/>
    </row>
    <row r="1008" spans="2:13" ht="15">
      <c r="B1008" s="645"/>
      <c r="C1008" s="429"/>
      <c r="D1008" s="429"/>
      <c r="E1008" s="429"/>
      <c r="F1008" s="429"/>
      <c r="G1008" s="429"/>
      <c r="H1008" s="429"/>
      <c r="I1008" s="429"/>
      <c r="J1008" s="429"/>
      <c r="K1008" s="429"/>
      <c r="L1008" s="429"/>
      <c r="M1008" s="429"/>
    </row>
    <row r="1009" spans="2:13" ht="15">
      <c r="B1009" s="645"/>
      <c r="C1009" s="429"/>
      <c r="D1009" s="429"/>
      <c r="E1009" s="429"/>
      <c r="F1009" s="429"/>
      <c r="G1009" s="429"/>
      <c r="H1009" s="429"/>
      <c r="I1009" s="429"/>
      <c r="J1009" s="429"/>
      <c r="K1009" s="429"/>
      <c r="L1009" s="429"/>
      <c r="M1009" s="429"/>
    </row>
    <row r="1010" spans="2:13" ht="15">
      <c r="B1010" s="645"/>
      <c r="C1010" s="429"/>
      <c r="D1010" s="429"/>
      <c r="E1010" s="429"/>
      <c r="F1010" s="429"/>
      <c r="G1010" s="429"/>
      <c r="H1010" s="429"/>
      <c r="I1010" s="429"/>
      <c r="J1010" s="429"/>
      <c r="K1010" s="429"/>
      <c r="L1010" s="429"/>
      <c r="M1010" s="429"/>
    </row>
    <row r="1011" spans="2:13" ht="15">
      <c r="B1011" s="645"/>
      <c r="C1011" s="429"/>
      <c r="D1011" s="429"/>
      <c r="E1011" s="429"/>
      <c r="F1011" s="429"/>
      <c r="G1011" s="429"/>
      <c r="H1011" s="429"/>
      <c r="I1011" s="429"/>
      <c r="J1011" s="429"/>
      <c r="K1011" s="429"/>
      <c r="L1011" s="429"/>
      <c r="M1011" s="429"/>
    </row>
    <row r="1012" spans="2:13" ht="15">
      <c r="B1012" s="645"/>
      <c r="C1012" s="429"/>
      <c r="D1012" s="429"/>
      <c r="E1012" s="429"/>
      <c r="F1012" s="429"/>
      <c r="G1012" s="429"/>
      <c r="H1012" s="429"/>
      <c r="I1012" s="429"/>
      <c r="J1012" s="429"/>
      <c r="K1012" s="429"/>
      <c r="L1012" s="429"/>
      <c r="M1012" s="429"/>
    </row>
    <row r="1013" spans="2:13" ht="15">
      <c r="B1013" s="645"/>
      <c r="C1013" s="429"/>
      <c r="D1013" s="429"/>
      <c r="E1013" s="429"/>
      <c r="F1013" s="429"/>
      <c r="G1013" s="429"/>
      <c r="H1013" s="429"/>
      <c r="I1013" s="429"/>
      <c r="J1013" s="429"/>
      <c r="K1013" s="429"/>
      <c r="L1013" s="429"/>
      <c r="M1013" s="429"/>
    </row>
    <row r="1014" spans="2:13" ht="15">
      <c r="B1014" s="645"/>
      <c r="C1014" s="429"/>
      <c r="D1014" s="429"/>
      <c r="E1014" s="429"/>
      <c r="F1014" s="429"/>
      <c r="G1014" s="429"/>
      <c r="H1014" s="429"/>
      <c r="I1014" s="429"/>
      <c r="J1014" s="429"/>
      <c r="K1014" s="429"/>
      <c r="L1014" s="429"/>
      <c r="M1014" s="429"/>
    </row>
    <row r="1015" spans="2:13" ht="15">
      <c r="B1015" s="645"/>
      <c r="C1015" s="429"/>
      <c r="D1015" s="429"/>
      <c r="E1015" s="429"/>
      <c r="F1015" s="429"/>
      <c r="G1015" s="429"/>
      <c r="H1015" s="429"/>
      <c r="I1015" s="429"/>
      <c r="J1015" s="429"/>
      <c r="K1015" s="429"/>
      <c r="L1015" s="429"/>
      <c r="M1015" s="429"/>
    </row>
    <row r="1016" spans="2:13" ht="15">
      <c r="B1016" s="645"/>
      <c r="C1016" s="429"/>
      <c r="D1016" s="429"/>
      <c r="E1016" s="429"/>
      <c r="F1016" s="429"/>
      <c r="G1016" s="429"/>
      <c r="H1016" s="429"/>
      <c r="I1016" s="429"/>
      <c r="J1016" s="429"/>
      <c r="K1016" s="429"/>
      <c r="L1016" s="429"/>
      <c r="M1016" s="429"/>
    </row>
    <row r="1017" spans="2:13" ht="15">
      <c r="B1017" s="645"/>
      <c r="C1017" s="429"/>
      <c r="D1017" s="429"/>
      <c r="E1017" s="429"/>
      <c r="F1017" s="429"/>
      <c r="G1017" s="429"/>
      <c r="H1017" s="429"/>
      <c r="I1017" s="429"/>
      <c r="J1017" s="429"/>
      <c r="K1017" s="429"/>
      <c r="L1017" s="429"/>
      <c r="M1017" s="429"/>
    </row>
    <row r="1018" spans="2:13" ht="15">
      <c r="B1018" s="645"/>
      <c r="C1018" s="429"/>
      <c r="D1018" s="429"/>
      <c r="E1018" s="429"/>
      <c r="F1018" s="429"/>
      <c r="G1018" s="429"/>
      <c r="H1018" s="429"/>
      <c r="I1018" s="429"/>
      <c r="J1018" s="429"/>
      <c r="K1018" s="429"/>
      <c r="L1018" s="429"/>
      <c r="M1018" s="429"/>
    </row>
    <row r="1019" spans="2:13" ht="15">
      <c r="B1019" s="645"/>
      <c r="C1019" s="429"/>
      <c r="D1019" s="429"/>
      <c r="E1019" s="429"/>
      <c r="F1019" s="429"/>
      <c r="G1019" s="429"/>
      <c r="H1019" s="429"/>
      <c r="I1019" s="429"/>
      <c r="J1019" s="429"/>
      <c r="K1019" s="429"/>
      <c r="L1019" s="429"/>
      <c r="M1019" s="429"/>
    </row>
    <row r="1020" spans="2:13" ht="15">
      <c r="B1020" s="645"/>
      <c r="C1020" s="429"/>
      <c r="D1020" s="429"/>
      <c r="E1020" s="429"/>
      <c r="F1020" s="429"/>
      <c r="G1020" s="429"/>
      <c r="H1020" s="429"/>
      <c r="I1020" s="429"/>
      <c r="J1020" s="429"/>
      <c r="K1020" s="429"/>
      <c r="L1020" s="429"/>
      <c r="M1020" s="429"/>
    </row>
    <row r="1021" spans="2:13" ht="15">
      <c r="B1021" s="645"/>
      <c r="C1021" s="429"/>
      <c r="D1021" s="429"/>
      <c r="E1021" s="429"/>
      <c r="F1021" s="429"/>
      <c r="G1021" s="429"/>
      <c r="H1021" s="429"/>
      <c r="I1021" s="429"/>
      <c r="J1021" s="429"/>
      <c r="K1021" s="429"/>
      <c r="L1021" s="429"/>
      <c r="M1021" s="429"/>
    </row>
    <row r="1022" spans="2:13" ht="15">
      <c r="B1022" s="645"/>
      <c r="C1022" s="429"/>
      <c r="D1022" s="429"/>
      <c r="E1022" s="429"/>
      <c r="F1022" s="429"/>
      <c r="G1022" s="429"/>
      <c r="H1022" s="429"/>
      <c r="I1022" s="429"/>
      <c r="J1022" s="429"/>
      <c r="K1022" s="429"/>
      <c r="L1022" s="429"/>
      <c r="M1022" s="429"/>
    </row>
    <row r="1023" spans="2:13" ht="15">
      <c r="B1023" s="645"/>
      <c r="C1023" s="429"/>
      <c r="D1023" s="429"/>
      <c r="E1023" s="429"/>
      <c r="F1023" s="429"/>
      <c r="G1023" s="429"/>
      <c r="H1023" s="429"/>
      <c r="I1023" s="429"/>
      <c r="J1023" s="429"/>
      <c r="K1023" s="429"/>
      <c r="L1023" s="429"/>
      <c r="M1023" s="429"/>
    </row>
    <row r="1024" spans="2:13" ht="15">
      <c r="B1024" s="645"/>
      <c r="C1024" s="429"/>
      <c r="D1024" s="429"/>
      <c r="E1024" s="429"/>
      <c r="F1024" s="429"/>
      <c r="G1024" s="429"/>
      <c r="H1024" s="429"/>
      <c r="I1024" s="429"/>
      <c r="J1024" s="429"/>
      <c r="K1024" s="429"/>
      <c r="L1024" s="429"/>
      <c r="M1024" s="429"/>
    </row>
    <row r="1025" spans="2:13" ht="15">
      <c r="B1025" s="645"/>
      <c r="C1025" s="429"/>
      <c r="D1025" s="429"/>
      <c r="E1025" s="429"/>
      <c r="F1025" s="429"/>
      <c r="G1025" s="429"/>
      <c r="H1025" s="429"/>
      <c r="I1025" s="429"/>
      <c r="J1025" s="429"/>
      <c r="K1025" s="429"/>
      <c r="L1025" s="429"/>
      <c r="M1025" s="429"/>
    </row>
    <row r="1026" spans="2:13" ht="15">
      <c r="B1026" s="645"/>
      <c r="C1026" s="429"/>
      <c r="D1026" s="429"/>
      <c r="E1026" s="429"/>
      <c r="F1026" s="429"/>
      <c r="G1026" s="429"/>
      <c r="H1026" s="429"/>
      <c r="I1026" s="429"/>
      <c r="J1026" s="429"/>
      <c r="K1026" s="429"/>
      <c r="L1026" s="429"/>
      <c r="M1026" s="429"/>
    </row>
    <row r="1027" spans="2:13" ht="15">
      <c r="B1027" s="645"/>
      <c r="C1027" s="429"/>
      <c r="D1027" s="429"/>
      <c r="E1027" s="429"/>
      <c r="F1027" s="429"/>
      <c r="G1027" s="429"/>
      <c r="H1027" s="429"/>
      <c r="I1027" s="429"/>
      <c r="J1027" s="429"/>
      <c r="K1027" s="429"/>
      <c r="L1027" s="429"/>
      <c r="M1027" s="429"/>
    </row>
    <row r="1028" spans="2:13" ht="15">
      <c r="B1028" s="645"/>
      <c r="C1028" s="429"/>
      <c r="D1028" s="429"/>
      <c r="E1028" s="429"/>
      <c r="F1028" s="429"/>
      <c r="G1028" s="429"/>
      <c r="H1028" s="429"/>
      <c r="I1028" s="429"/>
      <c r="J1028" s="429"/>
      <c r="K1028" s="429"/>
      <c r="L1028" s="429"/>
      <c r="M1028" s="429"/>
    </row>
    <row r="1029" spans="2:13" ht="15">
      <c r="B1029" s="645"/>
      <c r="C1029" s="429"/>
      <c r="D1029" s="429"/>
      <c r="E1029" s="429"/>
      <c r="F1029" s="429"/>
      <c r="G1029" s="429"/>
      <c r="H1029" s="429"/>
      <c r="I1029" s="429"/>
      <c r="J1029" s="429"/>
      <c r="K1029" s="429"/>
      <c r="L1029" s="429"/>
      <c r="M1029" s="429"/>
    </row>
    <row r="1030" spans="2:13" ht="15">
      <c r="B1030" s="645"/>
      <c r="C1030" s="429"/>
      <c r="D1030" s="429"/>
      <c r="E1030" s="429"/>
      <c r="F1030" s="429"/>
      <c r="G1030" s="429"/>
      <c r="H1030" s="429"/>
      <c r="I1030" s="429"/>
      <c r="J1030" s="429"/>
      <c r="K1030" s="429"/>
      <c r="L1030" s="429"/>
      <c r="M1030" s="429"/>
    </row>
    <row r="1031" spans="2:13" ht="15">
      <c r="B1031" s="645"/>
      <c r="C1031" s="429"/>
      <c r="D1031" s="429"/>
      <c r="E1031" s="429"/>
      <c r="F1031" s="429"/>
      <c r="G1031" s="429"/>
      <c r="H1031" s="429"/>
      <c r="I1031" s="429"/>
      <c r="J1031" s="429"/>
      <c r="K1031" s="429"/>
      <c r="L1031" s="429"/>
      <c r="M1031" s="429"/>
    </row>
    <row r="1032" spans="2:13" ht="15">
      <c r="B1032" s="645"/>
      <c r="C1032" s="429"/>
      <c r="D1032" s="429"/>
      <c r="E1032" s="429"/>
      <c r="F1032" s="429"/>
      <c r="G1032" s="429"/>
      <c r="H1032" s="429"/>
      <c r="I1032" s="429"/>
      <c r="J1032" s="429"/>
      <c r="K1032" s="429"/>
      <c r="L1032" s="429"/>
      <c r="M1032" s="429"/>
    </row>
    <row r="1033" spans="2:13" ht="15">
      <c r="B1033" s="645"/>
      <c r="C1033" s="429"/>
      <c r="D1033" s="429"/>
      <c r="E1033" s="429"/>
      <c r="F1033" s="429"/>
      <c r="G1033" s="429"/>
      <c r="H1033" s="429"/>
      <c r="I1033" s="429"/>
      <c r="J1033" s="429"/>
      <c r="K1033" s="429"/>
      <c r="L1033" s="429"/>
      <c r="M1033" s="429"/>
    </row>
    <row r="1034" spans="2:13" ht="15">
      <c r="B1034" s="645"/>
      <c r="C1034" s="429"/>
      <c r="D1034" s="429"/>
      <c r="E1034" s="429"/>
      <c r="F1034" s="429"/>
      <c r="G1034" s="429"/>
      <c r="H1034" s="429"/>
      <c r="I1034" s="429"/>
      <c r="J1034" s="429"/>
      <c r="K1034" s="429"/>
      <c r="L1034" s="429"/>
      <c r="M1034" s="429"/>
    </row>
    <row r="1035" spans="2:13" ht="15">
      <c r="B1035" s="645"/>
      <c r="C1035" s="429"/>
      <c r="D1035" s="429"/>
      <c r="E1035" s="429"/>
      <c r="F1035" s="429"/>
      <c r="G1035" s="429"/>
      <c r="H1035" s="429"/>
      <c r="I1035" s="429"/>
      <c r="J1035" s="429"/>
      <c r="K1035" s="429"/>
      <c r="L1035" s="429"/>
      <c r="M1035" s="429"/>
    </row>
    <row r="1036" spans="2:13" ht="15">
      <c r="B1036" s="645"/>
      <c r="C1036" s="429"/>
      <c r="D1036" s="429"/>
      <c r="E1036" s="429"/>
      <c r="F1036" s="429"/>
      <c r="G1036" s="429"/>
      <c r="H1036" s="429"/>
      <c r="I1036" s="429"/>
      <c r="J1036" s="429"/>
      <c r="K1036" s="429"/>
      <c r="L1036" s="429"/>
      <c r="M1036" s="429"/>
    </row>
    <row r="1037" spans="2:13" ht="15">
      <c r="B1037" s="645"/>
      <c r="C1037" s="429"/>
      <c r="D1037" s="429"/>
      <c r="E1037" s="429"/>
      <c r="F1037" s="429"/>
      <c r="G1037" s="429"/>
      <c r="H1037" s="429"/>
      <c r="I1037" s="429"/>
      <c r="J1037" s="429"/>
      <c r="K1037" s="429"/>
      <c r="L1037" s="429"/>
      <c r="M1037" s="429"/>
    </row>
    <row r="1038" spans="2:13" ht="15">
      <c r="B1038" s="645"/>
      <c r="C1038" s="429"/>
      <c r="D1038" s="429"/>
      <c r="E1038" s="429"/>
      <c r="F1038" s="429"/>
      <c r="G1038" s="429"/>
      <c r="H1038" s="429"/>
      <c r="I1038" s="429"/>
      <c r="J1038" s="429"/>
      <c r="K1038" s="429"/>
      <c r="L1038" s="429"/>
      <c r="M1038" s="429"/>
    </row>
    <row r="1039" spans="2:13" ht="15">
      <c r="B1039" s="645"/>
      <c r="C1039" s="429"/>
      <c r="D1039" s="429"/>
      <c r="E1039" s="429"/>
      <c r="F1039" s="429"/>
      <c r="G1039" s="429"/>
      <c r="H1039" s="429"/>
      <c r="I1039" s="429"/>
      <c r="J1039" s="429"/>
      <c r="K1039" s="429"/>
      <c r="L1039" s="429"/>
      <c r="M1039" s="429"/>
    </row>
    <row r="1040" spans="2:13" ht="15">
      <c r="B1040" s="645"/>
      <c r="C1040" s="429"/>
      <c r="D1040" s="429"/>
      <c r="E1040" s="429"/>
      <c r="F1040" s="429"/>
      <c r="G1040" s="429"/>
      <c r="H1040" s="429"/>
      <c r="I1040" s="429"/>
      <c r="J1040" s="429"/>
      <c r="K1040" s="429"/>
      <c r="L1040" s="429"/>
      <c r="M1040" s="429"/>
    </row>
    <row r="1041" spans="2:13" ht="15">
      <c r="B1041" s="645"/>
      <c r="C1041" s="429"/>
      <c r="D1041" s="429"/>
      <c r="E1041" s="429"/>
      <c r="F1041" s="429"/>
      <c r="G1041" s="429"/>
      <c r="H1041" s="429"/>
      <c r="I1041" s="429"/>
      <c r="J1041" s="429"/>
      <c r="K1041" s="429"/>
      <c r="L1041" s="429"/>
      <c r="M1041" s="429"/>
    </row>
    <row r="1042" spans="2:13" ht="15">
      <c r="B1042" s="645"/>
      <c r="C1042" s="429"/>
      <c r="D1042" s="429"/>
      <c r="E1042" s="429"/>
      <c r="F1042" s="429"/>
      <c r="G1042" s="429"/>
      <c r="H1042" s="429"/>
      <c r="I1042" s="429"/>
      <c r="J1042" s="429"/>
      <c r="K1042" s="429"/>
      <c r="L1042" s="429"/>
      <c r="M1042" s="429"/>
    </row>
    <row r="1043" spans="2:13" ht="15">
      <c r="B1043" s="645"/>
      <c r="C1043" s="429"/>
      <c r="D1043" s="429"/>
      <c r="E1043" s="429"/>
      <c r="F1043" s="429"/>
      <c r="G1043" s="429"/>
      <c r="H1043" s="429"/>
      <c r="I1043" s="429"/>
      <c r="J1043" s="429"/>
      <c r="K1043" s="429"/>
      <c r="L1043" s="429"/>
      <c r="M1043" s="429"/>
    </row>
    <row r="1044" spans="2:13" ht="15">
      <c r="B1044" s="645"/>
      <c r="C1044" s="429"/>
      <c r="D1044" s="429"/>
      <c r="E1044" s="429"/>
      <c r="F1044" s="429"/>
      <c r="G1044" s="429"/>
      <c r="H1044" s="429"/>
      <c r="I1044" s="429"/>
      <c r="J1044" s="429"/>
      <c r="K1044" s="429"/>
      <c r="L1044" s="429"/>
      <c r="M1044" s="429"/>
    </row>
    <row r="1045" spans="2:13" ht="15">
      <c r="B1045" s="645"/>
      <c r="C1045" s="429"/>
      <c r="D1045" s="429"/>
      <c r="E1045" s="429"/>
      <c r="F1045" s="429"/>
      <c r="G1045" s="429"/>
      <c r="H1045" s="429"/>
      <c r="I1045" s="429"/>
      <c r="J1045" s="429"/>
      <c r="K1045" s="429"/>
      <c r="L1045" s="429"/>
      <c r="M1045" s="429"/>
    </row>
    <row r="1046" spans="2:13" ht="15">
      <c r="B1046" s="645"/>
      <c r="C1046" s="429"/>
      <c r="D1046" s="429"/>
      <c r="E1046" s="429"/>
      <c r="F1046" s="429"/>
      <c r="G1046" s="429"/>
      <c r="H1046" s="429"/>
      <c r="I1046" s="429"/>
      <c r="J1046" s="429"/>
      <c r="K1046" s="429"/>
      <c r="L1046" s="429"/>
      <c r="M1046" s="429"/>
    </row>
    <row r="1047" spans="2:13" ht="15">
      <c r="B1047" s="645"/>
      <c r="C1047" s="429"/>
      <c r="D1047" s="429"/>
      <c r="E1047" s="429"/>
      <c r="F1047" s="429"/>
      <c r="G1047" s="429"/>
      <c r="H1047" s="429"/>
      <c r="I1047" s="429"/>
      <c r="J1047" s="429"/>
      <c r="K1047" s="429"/>
      <c r="L1047" s="429"/>
      <c r="M1047" s="429"/>
    </row>
    <row r="1048" spans="2:13" ht="15">
      <c r="B1048" s="645"/>
      <c r="C1048" s="429"/>
      <c r="D1048" s="429"/>
      <c r="E1048" s="429"/>
      <c r="F1048" s="429"/>
      <c r="G1048" s="429"/>
      <c r="H1048" s="429"/>
      <c r="I1048" s="429"/>
      <c r="J1048" s="429"/>
      <c r="K1048" s="429"/>
      <c r="L1048" s="429"/>
      <c r="M1048" s="429"/>
    </row>
    <row r="1049" spans="2:13" ht="15">
      <c r="B1049" s="645"/>
      <c r="C1049" s="429"/>
      <c r="D1049" s="429"/>
      <c r="E1049" s="429"/>
      <c r="F1049" s="429"/>
      <c r="G1049" s="429"/>
      <c r="H1049" s="429"/>
      <c r="I1049" s="429"/>
      <c r="J1049" s="429"/>
      <c r="K1049" s="429"/>
      <c r="L1049" s="429"/>
      <c r="M1049" s="429"/>
    </row>
    <row r="1050" spans="2:13" ht="15">
      <c r="B1050" s="645"/>
      <c r="C1050" s="429"/>
      <c r="D1050" s="429"/>
      <c r="E1050" s="429"/>
      <c r="F1050" s="429"/>
      <c r="G1050" s="429"/>
      <c r="H1050" s="429"/>
      <c r="I1050" s="429"/>
      <c r="J1050" s="429"/>
      <c r="K1050" s="429"/>
      <c r="L1050" s="429"/>
      <c r="M1050" s="429"/>
    </row>
    <row r="1051" spans="2:13" ht="15">
      <c r="B1051" s="645"/>
      <c r="C1051" s="429"/>
      <c r="D1051" s="429"/>
      <c r="E1051" s="429"/>
      <c r="F1051" s="429"/>
      <c r="G1051" s="429"/>
      <c r="H1051" s="429"/>
      <c r="I1051" s="429"/>
      <c r="J1051" s="429"/>
      <c r="K1051" s="429"/>
      <c r="L1051" s="429"/>
      <c r="M1051" s="429"/>
    </row>
    <row r="1052" spans="2:13" ht="15">
      <c r="B1052" s="645"/>
      <c r="C1052" s="429"/>
      <c r="D1052" s="429"/>
      <c r="E1052" s="429"/>
      <c r="F1052" s="429"/>
      <c r="G1052" s="429"/>
      <c r="H1052" s="429"/>
      <c r="I1052" s="429"/>
      <c r="J1052" s="429"/>
      <c r="K1052" s="429"/>
      <c r="L1052" s="429"/>
      <c r="M1052" s="429"/>
    </row>
    <row r="1053" spans="2:13" ht="15">
      <c r="B1053" s="645"/>
      <c r="C1053" s="429"/>
      <c r="D1053" s="429"/>
      <c r="E1053" s="429"/>
      <c r="F1053" s="429"/>
      <c r="G1053" s="429"/>
      <c r="H1053" s="429"/>
      <c r="I1053" s="429"/>
      <c r="J1053" s="429"/>
      <c r="K1053" s="429"/>
      <c r="L1053" s="429"/>
      <c r="M1053" s="429"/>
    </row>
    <row r="1054" spans="2:13" ht="15">
      <c r="B1054" s="645"/>
      <c r="C1054" s="429"/>
      <c r="D1054" s="429"/>
      <c r="E1054" s="429"/>
      <c r="F1054" s="429"/>
      <c r="G1054" s="429"/>
      <c r="H1054" s="429"/>
      <c r="I1054" s="429"/>
      <c r="J1054" s="429"/>
      <c r="K1054" s="429"/>
      <c r="L1054" s="429"/>
      <c r="M1054" s="429"/>
    </row>
    <row r="1055" spans="2:13" ht="15">
      <c r="B1055" s="645"/>
      <c r="C1055" s="429"/>
      <c r="D1055" s="429"/>
      <c r="E1055" s="429"/>
      <c r="F1055" s="429"/>
      <c r="G1055" s="429"/>
      <c r="H1055" s="429"/>
      <c r="I1055" s="429"/>
      <c r="J1055" s="429"/>
      <c r="K1055" s="429"/>
      <c r="L1055" s="429"/>
      <c r="M1055" s="429"/>
    </row>
    <row r="1056" spans="2:13" ht="15">
      <c r="B1056" s="645"/>
      <c r="C1056" s="429"/>
      <c r="D1056" s="429"/>
      <c r="E1056" s="429"/>
      <c r="F1056" s="429"/>
      <c r="G1056" s="429"/>
      <c r="H1056" s="429"/>
      <c r="I1056" s="429"/>
      <c r="J1056" s="429"/>
      <c r="K1056" s="429"/>
      <c r="L1056" s="429"/>
      <c r="M1056" s="429"/>
    </row>
    <row r="1057" spans="2:13" ht="15">
      <c r="B1057" s="645"/>
      <c r="C1057" s="429"/>
      <c r="D1057" s="429"/>
      <c r="E1057" s="429"/>
      <c r="F1057" s="429"/>
      <c r="G1057" s="429"/>
      <c r="H1057" s="429"/>
      <c r="I1057" s="429"/>
      <c r="J1057" s="429"/>
      <c r="K1057" s="429"/>
      <c r="L1057" s="429"/>
      <c r="M1057" s="429"/>
    </row>
    <row r="1058" spans="2:13" ht="15">
      <c r="B1058" s="645"/>
      <c r="C1058" s="429"/>
      <c r="D1058" s="429"/>
      <c r="E1058" s="429"/>
      <c r="F1058" s="429"/>
      <c r="G1058" s="429"/>
      <c r="H1058" s="429"/>
      <c r="I1058" s="429"/>
      <c r="J1058" s="429"/>
      <c r="K1058" s="429"/>
      <c r="L1058" s="429"/>
      <c r="M1058" s="429"/>
    </row>
    <row r="1059" spans="2:13" ht="15">
      <c r="B1059" s="645"/>
      <c r="C1059" s="429"/>
      <c r="D1059" s="429"/>
      <c r="E1059" s="429"/>
      <c r="F1059" s="429"/>
      <c r="G1059" s="429"/>
      <c r="H1059" s="429"/>
      <c r="I1059" s="429"/>
      <c r="J1059" s="429"/>
      <c r="K1059" s="429"/>
      <c r="L1059" s="429"/>
      <c r="M1059" s="429"/>
    </row>
    <row r="1060" spans="2:13" ht="15">
      <c r="B1060" s="645"/>
      <c r="C1060" s="429"/>
      <c r="D1060" s="429"/>
      <c r="E1060" s="429"/>
      <c r="F1060" s="429"/>
      <c r="G1060" s="429"/>
      <c r="H1060" s="429"/>
      <c r="I1060" s="429"/>
      <c r="J1060" s="429"/>
      <c r="K1060" s="429"/>
      <c r="L1060" s="429"/>
      <c r="M1060" s="429"/>
    </row>
    <row r="1061" spans="2:13" ht="15">
      <c r="B1061" s="645"/>
      <c r="C1061" s="429"/>
      <c r="D1061" s="429"/>
      <c r="E1061" s="429"/>
      <c r="F1061" s="429"/>
      <c r="G1061" s="429"/>
      <c r="H1061" s="429"/>
      <c r="I1061" s="429"/>
      <c r="J1061" s="429"/>
      <c r="K1061" s="429"/>
      <c r="L1061" s="429"/>
      <c r="M1061" s="429"/>
    </row>
    <row r="1062" spans="2:13" ht="15">
      <c r="B1062" s="645"/>
      <c r="C1062" s="429"/>
      <c r="D1062" s="429"/>
      <c r="E1062" s="429"/>
      <c r="F1062" s="429"/>
      <c r="G1062" s="429"/>
      <c r="H1062" s="429"/>
      <c r="I1062" s="429"/>
      <c r="J1062" s="429"/>
      <c r="K1062" s="429"/>
      <c r="L1062" s="429"/>
      <c r="M1062" s="429"/>
    </row>
    <row r="1063" spans="2:13" ht="15">
      <c r="B1063" s="645"/>
      <c r="C1063" s="429"/>
      <c r="D1063" s="429"/>
      <c r="E1063" s="429"/>
      <c r="F1063" s="429"/>
      <c r="G1063" s="429"/>
      <c r="H1063" s="429"/>
      <c r="I1063" s="429"/>
      <c r="J1063" s="429"/>
      <c r="K1063" s="429"/>
      <c r="L1063" s="429"/>
      <c r="M1063" s="429"/>
    </row>
    <row r="1064" spans="2:13" ht="15">
      <c r="B1064" s="645"/>
      <c r="C1064" s="429"/>
      <c r="D1064" s="429"/>
      <c r="E1064" s="429"/>
      <c r="F1064" s="429"/>
      <c r="G1064" s="429"/>
      <c r="H1064" s="429"/>
      <c r="I1064" s="429"/>
      <c r="J1064" s="429"/>
      <c r="K1064" s="429"/>
      <c r="L1064" s="429"/>
      <c r="M1064" s="429"/>
    </row>
    <row r="1065" spans="2:13" ht="15">
      <c r="B1065" s="645"/>
      <c r="C1065" s="429"/>
      <c r="D1065" s="429"/>
      <c r="E1065" s="429"/>
      <c r="F1065" s="429"/>
      <c r="G1065" s="429"/>
      <c r="H1065" s="429"/>
      <c r="I1065" s="429"/>
      <c r="J1065" s="429"/>
      <c r="K1065" s="429"/>
      <c r="L1065" s="429"/>
      <c r="M1065" s="429"/>
    </row>
    <row r="1066" spans="2:13" ht="15">
      <c r="B1066" s="645"/>
      <c r="C1066" s="429"/>
      <c r="D1066" s="429"/>
      <c r="E1066" s="429"/>
      <c r="F1066" s="429"/>
      <c r="G1066" s="429"/>
      <c r="H1066" s="429"/>
      <c r="I1066" s="429"/>
      <c r="J1066" s="429"/>
      <c r="K1066" s="429"/>
      <c r="L1066" s="429"/>
      <c r="M1066" s="429"/>
    </row>
    <row r="1067" spans="2:13" ht="15">
      <c r="B1067" s="645"/>
      <c r="C1067" s="429"/>
      <c r="D1067" s="429"/>
      <c r="E1067" s="429"/>
      <c r="F1067" s="429"/>
      <c r="G1067" s="429"/>
      <c r="H1067" s="429"/>
      <c r="I1067" s="429"/>
      <c r="J1067" s="429"/>
      <c r="K1067" s="429"/>
      <c r="L1067" s="429"/>
      <c r="M1067" s="429"/>
    </row>
    <row r="1068" spans="2:13" ht="15">
      <c r="B1068" s="645"/>
      <c r="C1068" s="429"/>
      <c r="D1068" s="429"/>
      <c r="E1068" s="429"/>
      <c r="F1068" s="429"/>
      <c r="G1068" s="429"/>
      <c r="H1068" s="429"/>
      <c r="I1068" s="429"/>
      <c r="J1068" s="429"/>
      <c r="K1068" s="429"/>
      <c r="L1068" s="429"/>
      <c r="M1068" s="429"/>
    </row>
    <row r="1069" spans="2:13" ht="15">
      <c r="B1069" s="645"/>
      <c r="C1069" s="429"/>
      <c r="D1069" s="429"/>
      <c r="E1069" s="429"/>
      <c r="F1069" s="429"/>
      <c r="G1069" s="429"/>
      <c r="H1069" s="429"/>
      <c r="I1069" s="429"/>
      <c r="J1069" s="429"/>
      <c r="K1069" s="429"/>
      <c r="L1069" s="429"/>
      <c r="M1069" s="429"/>
    </row>
    <row r="1070" spans="2:13" ht="15">
      <c r="B1070" s="645"/>
      <c r="C1070" s="429"/>
      <c r="D1070" s="429"/>
      <c r="E1070" s="429"/>
      <c r="F1070" s="429"/>
      <c r="G1070" s="429"/>
      <c r="H1070" s="429"/>
      <c r="I1070" s="429"/>
      <c r="J1070" s="429"/>
      <c r="K1070" s="429"/>
      <c r="L1070" s="429"/>
      <c r="M1070" s="429"/>
    </row>
    <row r="1071" spans="2:13" ht="15">
      <c r="B1071" s="645"/>
      <c r="C1071" s="429"/>
      <c r="D1071" s="429"/>
      <c r="E1071" s="429"/>
      <c r="F1071" s="429"/>
      <c r="G1071" s="429"/>
      <c r="H1071" s="429"/>
      <c r="I1071" s="429"/>
      <c r="J1071" s="429"/>
      <c r="K1071" s="429"/>
      <c r="L1071" s="429"/>
      <c r="M1071" s="429"/>
    </row>
    <row r="1072" spans="2:13" ht="15">
      <c r="B1072" s="645"/>
      <c r="C1072" s="429"/>
      <c r="D1072" s="429"/>
      <c r="E1072" s="429"/>
      <c r="F1072" s="429"/>
      <c r="G1072" s="429"/>
      <c r="H1072" s="429"/>
      <c r="I1072" s="429"/>
      <c r="J1072" s="429"/>
      <c r="K1072" s="429"/>
      <c r="L1072" s="429"/>
      <c r="M1072" s="429"/>
    </row>
    <row r="1073" spans="2:13" ht="15">
      <c r="B1073" s="645"/>
      <c r="C1073" s="429"/>
      <c r="D1073" s="429"/>
      <c r="E1073" s="429"/>
      <c r="F1073" s="429"/>
      <c r="G1073" s="429"/>
      <c r="H1073" s="429"/>
      <c r="I1073" s="429"/>
      <c r="J1073" s="429"/>
      <c r="K1073" s="429"/>
      <c r="L1073" s="429"/>
      <c r="M1073" s="429"/>
    </row>
    <row r="1074" spans="2:13" ht="15">
      <c r="B1074" s="645"/>
      <c r="C1074" s="429"/>
      <c r="D1074" s="429"/>
      <c r="E1074" s="429"/>
      <c r="F1074" s="429"/>
      <c r="G1074" s="429"/>
      <c r="H1074" s="429"/>
      <c r="I1074" s="429"/>
      <c r="J1074" s="429"/>
      <c r="K1074" s="429"/>
      <c r="L1074" s="429"/>
      <c r="M1074" s="429"/>
    </row>
    <row r="1075" spans="2:13" ht="15">
      <c r="B1075" s="645"/>
      <c r="C1075" s="429"/>
      <c r="D1075" s="429"/>
      <c r="E1075" s="429"/>
      <c r="F1075" s="429"/>
      <c r="G1075" s="429"/>
      <c r="H1075" s="429"/>
      <c r="I1075" s="429"/>
      <c r="J1075" s="429"/>
      <c r="K1075" s="429"/>
      <c r="L1075" s="429"/>
      <c r="M1075" s="429"/>
    </row>
    <row r="1076" spans="2:13" ht="15">
      <c r="B1076" s="645"/>
      <c r="C1076" s="429"/>
      <c r="D1076" s="429"/>
      <c r="E1076" s="429"/>
      <c r="F1076" s="429"/>
      <c r="G1076" s="429"/>
      <c r="H1076" s="429"/>
      <c r="I1076" s="429"/>
      <c r="J1076" s="429"/>
      <c r="K1076" s="429"/>
      <c r="L1076" s="429"/>
      <c r="M1076" s="429"/>
    </row>
    <row r="1077" spans="2:13" ht="15">
      <c r="B1077" s="645"/>
      <c r="C1077" s="429"/>
      <c r="D1077" s="429"/>
      <c r="E1077" s="429"/>
      <c r="F1077" s="429"/>
      <c r="G1077" s="429"/>
      <c r="H1077" s="429"/>
      <c r="I1077" s="429"/>
      <c r="J1077" s="429"/>
      <c r="K1077" s="429"/>
      <c r="L1077" s="429"/>
      <c r="M1077" s="429"/>
    </row>
    <row r="1078" spans="2:13" ht="15">
      <c r="B1078" s="645"/>
      <c r="C1078" s="429"/>
      <c r="D1078" s="429"/>
      <c r="E1078" s="429"/>
      <c r="F1078" s="429"/>
      <c r="G1078" s="429"/>
      <c r="H1078" s="429"/>
      <c r="I1078" s="429"/>
      <c r="J1078" s="429"/>
      <c r="K1078" s="429"/>
      <c r="L1078" s="429"/>
      <c r="M1078" s="429"/>
    </row>
    <row r="1079" spans="2:13" ht="15">
      <c r="B1079" s="645"/>
      <c r="C1079" s="429"/>
      <c r="D1079" s="429"/>
      <c r="E1079" s="429"/>
      <c r="F1079" s="429"/>
      <c r="G1079" s="429"/>
      <c r="H1079" s="429"/>
      <c r="I1079" s="429"/>
      <c r="J1079" s="429"/>
      <c r="K1079" s="429"/>
      <c r="L1079" s="429"/>
      <c r="M1079" s="429"/>
    </row>
    <row r="1080" spans="2:13" ht="15">
      <c r="B1080" s="645"/>
      <c r="C1080" s="429"/>
      <c r="D1080" s="429"/>
      <c r="E1080" s="429"/>
      <c r="F1080" s="429"/>
      <c r="G1080" s="429"/>
      <c r="H1080" s="429"/>
      <c r="I1080" s="429"/>
      <c r="J1080" s="429"/>
      <c r="K1080" s="429"/>
      <c r="L1080" s="429"/>
      <c r="M1080" s="429"/>
    </row>
    <row r="1081" spans="2:13" ht="15">
      <c r="B1081" s="645"/>
      <c r="C1081" s="429"/>
      <c r="D1081" s="429"/>
      <c r="E1081" s="429"/>
      <c r="F1081" s="429"/>
      <c r="G1081" s="429"/>
      <c r="H1081" s="429"/>
      <c r="I1081" s="429"/>
      <c r="J1081" s="429"/>
      <c r="K1081" s="429"/>
      <c r="L1081" s="429"/>
      <c r="M1081" s="429"/>
    </row>
    <row r="1082" spans="2:13" ht="15">
      <c r="B1082" s="645"/>
      <c r="C1082" s="429"/>
      <c r="D1082" s="429"/>
      <c r="E1082" s="429"/>
      <c r="F1082" s="429"/>
      <c r="G1082" s="429"/>
      <c r="H1082" s="429"/>
      <c r="I1082" s="429"/>
      <c r="J1082" s="429"/>
      <c r="K1082" s="429"/>
      <c r="L1082" s="429"/>
      <c r="M1082" s="429"/>
    </row>
    <row r="1083" spans="2:13" ht="15">
      <c r="B1083" s="645"/>
      <c r="C1083" s="429"/>
      <c r="D1083" s="429"/>
      <c r="E1083" s="429"/>
      <c r="F1083" s="429"/>
      <c r="G1083" s="429"/>
      <c r="H1083" s="429"/>
      <c r="I1083" s="429"/>
      <c r="J1083" s="429"/>
      <c r="K1083" s="429"/>
      <c r="L1083" s="429"/>
      <c r="M1083" s="429"/>
    </row>
    <row r="1084" spans="2:13" ht="15">
      <c r="B1084" s="645"/>
      <c r="C1084" s="429"/>
      <c r="D1084" s="429"/>
      <c r="E1084" s="429"/>
      <c r="F1084" s="429"/>
      <c r="G1084" s="429"/>
      <c r="H1084" s="429"/>
      <c r="I1084" s="429"/>
      <c r="J1084" s="429"/>
      <c r="K1084" s="429"/>
      <c r="L1084" s="429"/>
      <c r="M1084" s="429"/>
    </row>
    <row r="1085" spans="2:13" ht="15">
      <c r="B1085" s="645"/>
      <c r="C1085" s="429"/>
      <c r="D1085" s="429"/>
      <c r="E1085" s="429"/>
      <c r="F1085" s="429"/>
      <c r="G1085" s="429"/>
      <c r="H1085" s="429"/>
      <c r="I1085" s="429"/>
      <c r="J1085" s="429"/>
      <c r="K1085" s="429"/>
      <c r="L1085" s="429"/>
      <c r="M1085" s="429"/>
    </row>
    <row r="1086" spans="2:13" ht="15">
      <c r="B1086" s="645"/>
      <c r="C1086" s="429"/>
      <c r="D1086" s="429"/>
      <c r="E1086" s="429"/>
      <c r="F1086" s="429"/>
      <c r="G1086" s="429"/>
      <c r="H1086" s="429"/>
      <c r="I1086" s="429"/>
      <c r="J1086" s="429"/>
      <c r="K1086" s="429"/>
      <c r="L1086" s="429"/>
      <c r="M1086" s="429"/>
    </row>
    <row r="1087" spans="2:13" ht="15">
      <c r="B1087" s="645"/>
      <c r="C1087" s="429"/>
      <c r="D1087" s="429"/>
      <c r="E1087" s="429"/>
      <c r="F1087" s="429"/>
      <c r="G1087" s="429"/>
      <c r="H1087" s="429"/>
      <c r="I1087" s="429"/>
      <c r="J1087" s="429"/>
      <c r="K1087" s="429"/>
      <c r="L1087" s="429"/>
      <c r="M1087" s="429"/>
    </row>
    <row r="1088" spans="2:13" ht="15">
      <c r="B1088" s="645"/>
      <c r="C1088" s="429"/>
      <c r="D1088" s="429"/>
      <c r="E1088" s="429"/>
      <c r="F1088" s="429"/>
      <c r="G1088" s="429"/>
      <c r="H1088" s="429"/>
      <c r="I1088" s="429"/>
      <c r="J1088" s="429"/>
      <c r="K1088" s="429"/>
      <c r="L1088" s="429"/>
      <c r="M1088" s="429"/>
    </row>
    <row r="1089" spans="2:13" ht="15">
      <c r="B1089" s="645"/>
      <c r="C1089" s="429"/>
      <c r="D1089" s="429"/>
      <c r="E1089" s="429"/>
      <c r="F1089" s="429"/>
      <c r="G1089" s="429"/>
      <c r="H1089" s="429"/>
      <c r="I1089" s="429"/>
      <c r="J1089" s="429"/>
      <c r="K1089" s="429"/>
      <c r="L1089" s="429"/>
      <c r="M1089" s="429"/>
    </row>
    <row r="1090" spans="2:13" ht="15">
      <c r="B1090" s="645"/>
      <c r="C1090" s="429"/>
      <c r="D1090" s="429"/>
      <c r="E1090" s="429"/>
      <c r="F1090" s="429"/>
      <c r="G1090" s="429"/>
      <c r="H1090" s="429"/>
      <c r="I1090" s="429"/>
      <c r="J1090" s="429"/>
      <c r="K1090" s="429"/>
      <c r="L1090" s="429"/>
      <c r="M1090" s="429"/>
    </row>
    <row r="1091" spans="2:13" ht="15">
      <c r="B1091" s="645"/>
      <c r="C1091" s="429"/>
      <c r="D1091" s="429"/>
      <c r="E1091" s="429"/>
      <c r="F1091" s="429"/>
      <c r="G1091" s="429"/>
      <c r="H1091" s="429"/>
      <c r="I1091" s="429"/>
      <c r="J1091" s="429"/>
      <c r="K1091" s="429"/>
      <c r="L1091" s="429"/>
      <c r="M1091" s="429"/>
    </row>
    <row r="1092" spans="2:13" ht="15">
      <c r="B1092" s="645"/>
      <c r="C1092" s="429"/>
      <c r="D1092" s="429"/>
      <c r="E1092" s="429"/>
      <c r="F1092" s="429"/>
      <c r="G1092" s="429"/>
      <c r="H1092" s="429"/>
      <c r="I1092" s="429"/>
      <c r="J1092" s="429"/>
      <c r="K1092" s="429"/>
      <c r="L1092" s="429"/>
      <c r="M1092" s="429"/>
    </row>
    <row r="1093" spans="2:13" ht="15">
      <c r="B1093" s="645"/>
      <c r="C1093" s="429"/>
      <c r="D1093" s="429"/>
      <c r="E1093" s="429"/>
      <c r="F1093" s="429"/>
      <c r="G1093" s="429"/>
      <c r="H1093" s="429"/>
      <c r="I1093" s="429"/>
      <c r="J1093" s="429"/>
      <c r="K1093" s="429"/>
      <c r="L1093" s="429"/>
      <c r="M1093" s="429"/>
    </row>
    <row r="1094" spans="2:13" ht="15">
      <c r="B1094" s="645"/>
      <c r="C1094" s="429"/>
      <c r="D1094" s="429"/>
      <c r="E1094" s="429"/>
      <c r="F1094" s="429"/>
      <c r="G1094" s="429"/>
      <c r="H1094" s="429"/>
      <c r="I1094" s="429"/>
      <c r="J1094" s="429"/>
      <c r="K1094" s="429"/>
      <c r="L1094" s="429"/>
      <c r="M1094" s="429"/>
    </row>
    <row r="1095" spans="2:13" ht="15">
      <c r="B1095" s="645"/>
      <c r="C1095" s="429"/>
      <c r="D1095" s="429"/>
      <c r="E1095" s="429"/>
      <c r="F1095" s="429"/>
      <c r="G1095" s="429"/>
      <c r="H1095" s="429"/>
      <c r="I1095" s="429"/>
      <c r="J1095" s="429"/>
      <c r="K1095" s="429"/>
      <c r="L1095" s="429"/>
      <c r="M1095" s="429"/>
    </row>
    <row r="1096" spans="2:13" ht="15">
      <c r="B1096" s="645"/>
      <c r="C1096" s="429"/>
      <c r="D1096" s="429"/>
      <c r="E1096" s="429"/>
      <c r="F1096" s="429"/>
      <c r="G1096" s="429"/>
      <c r="H1096" s="429"/>
      <c r="I1096" s="429"/>
      <c r="J1096" s="429"/>
      <c r="K1096" s="429"/>
      <c r="L1096" s="429"/>
      <c r="M1096" s="429"/>
    </row>
    <row r="1097" spans="2:13" ht="15">
      <c r="B1097" s="645"/>
      <c r="C1097" s="429"/>
      <c r="D1097" s="429"/>
      <c r="E1097" s="429"/>
      <c r="F1097" s="429"/>
      <c r="G1097" s="429"/>
      <c r="H1097" s="429"/>
      <c r="I1097" s="429"/>
      <c r="J1097" s="429"/>
      <c r="K1097" s="429"/>
      <c r="L1097" s="429"/>
      <c r="M1097" s="429"/>
    </row>
    <row r="1098" spans="2:13" ht="15">
      <c r="B1098" s="645"/>
      <c r="C1098" s="429"/>
      <c r="D1098" s="429"/>
      <c r="E1098" s="429"/>
      <c r="F1098" s="429"/>
      <c r="G1098" s="429"/>
      <c r="H1098" s="429"/>
      <c r="I1098" s="429"/>
      <c r="J1098" s="429"/>
      <c r="K1098" s="429"/>
      <c r="L1098" s="429"/>
      <c r="M1098" s="429"/>
    </row>
    <row r="1099" spans="2:13" ht="15">
      <c r="B1099" s="645"/>
      <c r="C1099" s="429"/>
      <c r="D1099" s="429"/>
      <c r="E1099" s="429"/>
      <c r="F1099" s="429"/>
      <c r="G1099" s="429"/>
      <c r="H1099" s="429"/>
      <c r="I1099" s="429"/>
      <c r="J1099" s="429"/>
      <c r="K1099" s="429"/>
      <c r="L1099" s="429"/>
      <c r="M1099" s="429"/>
    </row>
    <row r="1100" spans="2:13" ht="15">
      <c r="B1100" s="645"/>
      <c r="C1100" s="429"/>
      <c r="D1100" s="429"/>
      <c r="E1100" s="429"/>
      <c r="F1100" s="429"/>
      <c r="G1100" s="429"/>
      <c r="H1100" s="429"/>
      <c r="I1100" s="429"/>
      <c r="J1100" s="429"/>
      <c r="K1100" s="429"/>
      <c r="L1100" s="429"/>
      <c r="M1100" s="429"/>
    </row>
    <row r="1101" spans="2:13" ht="15">
      <c r="B1101" s="645"/>
      <c r="C1101" s="429"/>
      <c r="D1101" s="429"/>
      <c r="E1101" s="429"/>
      <c r="F1101" s="429"/>
      <c r="G1101" s="429"/>
      <c r="H1101" s="429"/>
      <c r="I1101" s="429"/>
      <c r="J1101" s="429"/>
      <c r="K1101" s="429"/>
      <c r="L1101" s="429"/>
      <c r="M1101" s="429"/>
    </row>
    <row r="1102" spans="2:13" ht="15">
      <c r="B1102" s="645"/>
      <c r="C1102" s="429"/>
      <c r="D1102" s="429"/>
      <c r="E1102" s="429"/>
      <c r="F1102" s="429"/>
      <c r="G1102" s="429"/>
      <c r="H1102" s="429"/>
      <c r="I1102" s="429"/>
      <c r="J1102" s="429"/>
      <c r="K1102" s="429"/>
      <c r="L1102" s="429"/>
      <c r="M1102" s="429"/>
    </row>
    <row r="1103" spans="2:13" ht="15">
      <c r="B1103" s="645"/>
      <c r="C1103" s="429"/>
      <c r="D1103" s="429"/>
      <c r="E1103" s="429"/>
      <c r="F1103" s="429"/>
      <c r="G1103" s="429"/>
      <c r="H1103" s="429"/>
      <c r="I1103" s="429"/>
      <c r="J1103" s="429"/>
      <c r="K1103" s="429"/>
      <c r="L1103" s="429"/>
      <c r="M1103" s="429"/>
    </row>
    <row r="1104" spans="2:13" ht="15">
      <c r="B1104" s="645"/>
      <c r="C1104" s="429"/>
      <c r="D1104" s="429"/>
      <c r="E1104" s="429"/>
      <c r="F1104" s="429"/>
      <c r="G1104" s="429"/>
      <c r="H1104" s="429"/>
      <c r="I1104" s="429"/>
      <c r="J1104" s="429"/>
      <c r="K1104" s="429"/>
      <c r="L1104" s="429"/>
      <c r="M1104" s="429"/>
    </row>
    <row r="1105" spans="2:13" ht="15">
      <c r="B1105" s="645"/>
      <c r="C1105" s="429"/>
      <c r="D1105" s="429"/>
      <c r="E1105" s="429"/>
      <c r="F1105" s="429"/>
      <c r="G1105" s="429"/>
      <c r="H1105" s="429"/>
      <c r="I1105" s="429"/>
      <c r="J1105" s="429"/>
      <c r="K1105" s="429"/>
      <c r="L1105" s="429"/>
      <c r="M1105" s="429"/>
    </row>
    <row r="1106" spans="2:13" ht="15">
      <c r="B1106" s="645"/>
      <c r="C1106" s="429"/>
      <c r="D1106" s="429"/>
      <c r="E1106" s="429"/>
      <c r="F1106" s="429"/>
      <c r="G1106" s="429"/>
      <c r="H1106" s="429"/>
      <c r="I1106" s="429"/>
      <c r="J1106" s="429"/>
      <c r="K1106" s="429"/>
      <c r="L1106" s="429"/>
      <c r="M1106" s="429"/>
    </row>
    <row r="1107" spans="2:13" ht="15">
      <c r="B1107" s="645"/>
      <c r="C1107" s="429"/>
      <c r="D1107" s="429"/>
      <c r="E1107" s="429"/>
      <c r="F1107" s="429"/>
      <c r="G1107" s="429"/>
      <c r="H1107" s="429"/>
      <c r="I1107" s="429"/>
      <c r="J1107" s="429"/>
      <c r="K1107" s="429"/>
      <c r="L1107" s="429"/>
      <c r="M1107" s="429"/>
    </row>
    <row r="1108" spans="2:13" ht="15">
      <c r="B1108" s="645"/>
      <c r="C1108" s="429"/>
      <c r="D1108" s="429"/>
      <c r="E1108" s="429"/>
      <c r="F1108" s="429"/>
      <c r="G1108" s="429"/>
      <c r="H1108" s="429"/>
      <c r="I1108" s="429"/>
      <c r="J1108" s="429"/>
      <c r="K1108" s="429"/>
      <c r="L1108" s="429"/>
      <c r="M1108" s="429"/>
    </row>
    <row r="1109" spans="2:13" ht="15">
      <c r="B1109" s="645"/>
      <c r="C1109" s="429"/>
      <c r="D1109" s="429"/>
      <c r="E1109" s="429"/>
      <c r="F1109" s="429"/>
      <c r="G1109" s="429"/>
      <c r="H1109" s="429"/>
      <c r="I1109" s="429"/>
      <c r="J1109" s="429"/>
      <c r="K1109" s="429"/>
      <c r="L1109" s="429"/>
      <c r="M1109" s="429"/>
    </row>
    <row r="1110" spans="2:13" ht="15">
      <c r="B1110" s="645"/>
      <c r="C1110" s="429"/>
      <c r="D1110" s="429"/>
      <c r="E1110" s="429"/>
      <c r="F1110" s="429"/>
      <c r="G1110" s="429"/>
      <c r="H1110" s="429"/>
      <c r="I1110" s="429"/>
      <c r="J1110" s="429"/>
      <c r="K1110" s="429"/>
      <c r="L1110" s="429"/>
      <c r="M1110" s="429"/>
    </row>
    <row r="1111" spans="2:13" ht="15">
      <c r="B1111" s="645"/>
      <c r="C1111" s="429"/>
      <c r="D1111" s="429"/>
      <c r="E1111" s="429"/>
      <c r="F1111" s="429"/>
      <c r="G1111" s="429"/>
      <c r="H1111" s="429"/>
      <c r="I1111" s="429"/>
      <c r="J1111" s="429"/>
      <c r="K1111" s="429"/>
      <c r="L1111" s="429"/>
      <c r="M1111" s="429"/>
    </row>
    <row r="1112" spans="2:13" ht="15">
      <c r="B1112" s="645"/>
      <c r="C1112" s="429"/>
      <c r="D1112" s="429"/>
      <c r="E1112" s="429"/>
      <c r="F1112" s="429"/>
      <c r="G1112" s="429"/>
      <c r="H1112" s="429"/>
      <c r="I1112" s="429"/>
      <c r="J1112" s="429"/>
      <c r="K1112" s="429"/>
      <c r="L1112" s="429"/>
      <c r="M1112" s="429"/>
    </row>
    <row r="1113" spans="2:13" ht="15">
      <c r="B1113" s="645"/>
      <c r="C1113" s="429"/>
      <c r="D1113" s="429"/>
      <c r="E1113" s="429"/>
      <c r="F1113" s="429"/>
      <c r="G1113" s="429"/>
      <c r="H1113" s="429"/>
      <c r="I1113" s="429"/>
      <c r="J1113" s="429"/>
      <c r="K1113" s="429"/>
      <c r="L1113" s="429"/>
      <c r="M1113" s="429"/>
    </row>
    <row r="1114" spans="2:13" ht="15">
      <c r="B1114" s="645"/>
      <c r="C1114" s="429"/>
      <c r="D1114" s="429"/>
      <c r="E1114" s="429"/>
      <c r="F1114" s="429"/>
      <c r="G1114" s="429"/>
      <c r="H1114" s="429"/>
      <c r="I1114" s="429"/>
      <c r="J1114" s="429"/>
      <c r="K1114" s="429"/>
      <c r="L1114" s="429"/>
      <c r="M1114" s="429"/>
    </row>
    <row r="1115" spans="2:13" ht="15">
      <c r="B1115" s="645"/>
      <c r="C1115" s="429"/>
      <c r="D1115" s="429"/>
      <c r="E1115" s="429"/>
      <c r="F1115" s="429"/>
      <c r="G1115" s="429"/>
      <c r="H1115" s="429"/>
      <c r="I1115" s="429"/>
      <c r="J1115" s="429"/>
      <c r="K1115" s="429"/>
      <c r="L1115" s="429"/>
      <c r="M1115" s="429"/>
    </row>
    <row r="1116" spans="2:13" ht="15">
      <c r="B1116" s="645"/>
      <c r="C1116" s="429"/>
      <c r="D1116" s="429"/>
      <c r="E1116" s="429"/>
      <c r="F1116" s="429"/>
      <c r="G1116" s="429"/>
      <c r="H1116" s="429"/>
      <c r="I1116" s="429"/>
      <c r="J1116" s="429"/>
      <c r="K1116" s="429"/>
      <c r="L1116" s="429"/>
      <c r="M1116" s="429"/>
    </row>
    <row r="1117" spans="2:13" ht="15">
      <c r="B1117" s="645"/>
      <c r="C1117" s="429"/>
      <c r="D1117" s="429"/>
      <c r="E1117" s="429"/>
      <c r="F1117" s="429"/>
      <c r="G1117" s="429"/>
      <c r="H1117" s="429"/>
      <c r="I1117" s="429"/>
      <c r="J1117" s="429"/>
      <c r="K1117" s="429"/>
      <c r="L1117" s="429"/>
      <c r="M1117" s="429"/>
    </row>
    <row r="1118" spans="2:13" ht="15">
      <c r="B1118" s="645"/>
      <c r="C1118" s="429"/>
      <c r="D1118" s="429"/>
      <c r="E1118" s="429"/>
      <c r="F1118" s="429"/>
      <c r="G1118" s="429"/>
      <c r="H1118" s="429"/>
      <c r="I1118" s="429"/>
      <c r="J1118" s="429"/>
      <c r="K1118" s="429"/>
      <c r="L1118" s="429"/>
      <c r="M1118" s="429"/>
    </row>
    <row r="1119" spans="2:13" ht="15">
      <c r="B1119" s="645"/>
      <c r="C1119" s="429"/>
      <c r="D1119" s="429"/>
      <c r="E1119" s="429"/>
      <c r="F1119" s="429"/>
      <c r="G1119" s="429"/>
      <c r="H1119" s="429"/>
      <c r="I1119" s="429"/>
      <c r="J1119" s="429"/>
      <c r="K1119" s="429"/>
      <c r="L1119" s="429"/>
      <c r="M1119" s="429"/>
    </row>
    <row r="1120" spans="2:13" ht="15">
      <c r="B1120" s="645"/>
      <c r="C1120" s="429"/>
      <c r="D1120" s="429"/>
      <c r="E1120" s="429"/>
      <c r="F1120" s="429"/>
      <c r="G1120" s="429"/>
      <c r="H1120" s="429"/>
      <c r="I1120" s="429"/>
      <c r="J1120" s="429"/>
      <c r="K1120" s="429"/>
      <c r="L1120" s="429"/>
      <c r="M1120" s="429"/>
    </row>
    <row r="1121" spans="2:13" ht="15">
      <c r="B1121" s="645"/>
      <c r="C1121" s="429"/>
      <c r="D1121" s="429"/>
      <c r="E1121" s="429"/>
      <c r="F1121" s="429"/>
      <c r="G1121" s="429"/>
      <c r="H1121" s="429"/>
      <c r="I1121" s="429"/>
      <c r="J1121" s="429"/>
      <c r="K1121" s="429"/>
      <c r="L1121" s="429"/>
      <c r="M1121" s="429"/>
    </row>
    <row r="1122" spans="2:13" ht="15">
      <c r="B1122" s="645"/>
      <c r="C1122" s="429"/>
      <c r="D1122" s="429"/>
      <c r="E1122" s="429"/>
      <c r="F1122" s="429"/>
      <c r="G1122" s="429"/>
      <c r="H1122" s="429"/>
      <c r="I1122" s="429"/>
      <c r="J1122" s="429"/>
      <c r="K1122" s="429"/>
      <c r="L1122" s="429"/>
      <c r="M1122" s="429"/>
    </row>
    <row r="1123" spans="2:13" ht="15">
      <c r="B1123" s="645"/>
      <c r="C1123" s="429"/>
      <c r="D1123" s="429"/>
      <c r="E1123" s="429"/>
      <c r="F1123" s="429"/>
      <c r="G1123" s="429"/>
      <c r="H1123" s="429"/>
      <c r="I1123" s="429"/>
      <c r="J1123" s="429"/>
      <c r="K1123" s="429"/>
      <c r="L1123" s="429"/>
      <c r="M1123" s="429"/>
    </row>
    <row r="1124" spans="2:13" ht="15">
      <c r="B1124" s="645"/>
      <c r="C1124" s="429"/>
      <c r="D1124" s="429"/>
      <c r="E1124" s="429"/>
      <c r="F1124" s="429"/>
      <c r="G1124" s="429"/>
      <c r="H1124" s="429"/>
      <c r="I1124" s="429"/>
      <c r="J1124" s="429"/>
      <c r="K1124" s="429"/>
      <c r="L1124" s="429"/>
      <c r="M1124" s="429"/>
    </row>
    <row r="1125" spans="2:13" ht="15">
      <c r="B1125" s="645"/>
      <c r="C1125" s="429"/>
      <c r="D1125" s="429"/>
      <c r="E1125" s="429"/>
      <c r="F1125" s="429"/>
      <c r="G1125" s="429"/>
      <c r="H1125" s="429"/>
      <c r="I1125" s="429"/>
      <c r="J1125" s="429"/>
      <c r="K1125" s="429"/>
      <c r="L1125" s="429"/>
      <c r="M1125" s="429"/>
    </row>
    <row r="1126" spans="2:13" ht="15">
      <c r="B1126" s="645"/>
      <c r="C1126" s="429"/>
      <c r="D1126" s="429"/>
      <c r="E1126" s="429"/>
      <c r="F1126" s="429"/>
      <c r="G1126" s="429"/>
      <c r="H1126" s="429"/>
      <c r="I1126" s="429"/>
      <c r="J1126" s="429"/>
      <c r="K1126" s="429"/>
      <c r="L1126" s="429"/>
      <c r="M1126" s="429"/>
    </row>
    <row r="1127" spans="2:13" ht="15">
      <c r="B1127" s="645"/>
      <c r="C1127" s="429"/>
      <c r="D1127" s="429"/>
      <c r="E1127" s="429"/>
      <c r="F1127" s="429"/>
      <c r="G1127" s="429"/>
      <c r="H1127" s="429"/>
      <c r="I1127" s="429"/>
      <c r="J1127" s="429"/>
      <c r="K1127" s="429"/>
      <c r="L1127" s="429"/>
      <c r="M1127" s="429"/>
    </row>
    <row r="1128" spans="2:13" ht="15">
      <c r="B1128" s="645"/>
      <c r="C1128" s="429"/>
      <c r="D1128" s="429"/>
      <c r="E1128" s="429"/>
      <c r="F1128" s="429"/>
      <c r="G1128" s="429"/>
      <c r="H1128" s="429"/>
      <c r="I1128" s="429"/>
      <c r="J1128" s="429"/>
      <c r="K1128" s="429"/>
      <c r="L1128" s="429"/>
      <c r="M1128" s="429"/>
    </row>
    <row r="1129" spans="2:13" ht="15">
      <c r="B1129" s="645"/>
      <c r="C1129" s="429"/>
      <c r="D1129" s="429"/>
      <c r="E1129" s="429"/>
      <c r="F1129" s="429"/>
      <c r="G1129" s="429"/>
      <c r="H1129" s="429"/>
      <c r="I1129" s="429"/>
      <c r="J1129" s="429"/>
      <c r="K1129" s="429"/>
      <c r="L1129" s="429"/>
      <c r="M1129" s="429"/>
    </row>
    <row r="1130" spans="2:13" ht="15">
      <c r="B1130" s="645"/>
      <c r="C1130" s="429"/>
      <c r="D1130" s="429"/>
      <c r="E1130" s="429"/>
      <c r="F1130" s="429"/>
      <c r="G1130" s="429"/>
      <c r="H1130" s="429"/>
      <c r="I1130" s="429"/>
      <c r="J1130" s="429"/>
      <c r="K1130" s="429"/>
      <c r="L1130" s="429"/>
      <c r="M1130" s="429"/>
    </row>
    <row r="1131" spans="2:13" ht="15">
      <c r="B1131" s="645"/>
      <c r="C1131" s="429"/>
      <c r="D1131" s="429"/>
      <c r="E1131" s="429"/>
      <c r="F1131" s="429"/>
      <c r="G1131" s="429"/>
      <c r="H1131" s="429"/>
      <c r="I1131" s="429"/>
      <c r="J1131" s="429"/>
      <c r="K1131" s="429"/>
      <c r="L1131" s="429"/>
      <c r="M1131" s="429"/>
    </row>
    <row r="1132" spans="2:13" ht="15">
      <c r="B1132" s="645"/>
      <c r="C1132" s="429"/>
      <c r="D1132" s="429"/>
      <c r="E1132" s="429"/>
      <c r="F1132" s="429"/>
      <c r="G1132" s="429"/>
      <c r="H1132" s="429"/>
      <c r="I1132" s="429"/>
      <c r="J1132" s="429"/>
      <c r="K1132" s="429"/>
      <c r="L1132" s="429"/>
      <c r="M1132" s="429"/>
    </row>
    <row r="1133" spans="2:13" ht="15">
      <c r="B1133" s="645"/>
      <c r="C1133" s="429"/>
      <c r="D1133" s="429"/>
      <c r="E1133" s="429"/>
      <c r="F1133" s="429"/>
      <c r="G1133" s="429"/>
      <c r="H1133" s="429"/>
      <c r="I1133" s="429"/>
      <c r="J1133" s="429"/>
      <c r="K1133" s="429"/>
      <c r="L1133" s="429"/>
      <c r="M1133" s="429"/>
    </row>
    <row r="1134" spans="2:13" ht="15">
      <c r="B1134" s="645"/>
      <c r="C1134" s="429"/>
      <c r="D1134" s="429"/>
      <c r="E1134" s="429"/>
      <c r="F1134" s="429"/>
      <c r="G1134" s="429"/>
      <c r="H1134" s="429"/>
      <c r="I1134" s="429"/>
      <c r="J1134" s="429"/>
      <c r="K1134" s="429"/>
      <c r="L1134" s="429"/>
      <c r="M1134" s="429"/>
    </row>
    <row r="1135" spans="2:13" ht="15">
      <c r="B1135" s="645"/>
      <c r="C1135" s="429"/>
      <c r="D1135" s="429"/>
      <c r="E1135" s="429"/>
      <c r="F1135" s="429"/>
      <c r="G1135" s="429"/>
      <c r="H1135" s="429"/>
      <c r="I1135" s="429"/>
      <c r="J1135" s="429"/>
      <c r="K1135" s="429"/>
      <c r="L1135" s="429"/>
      <c r="M1135" s="429"/>
    </row>
    <row r="1136" spans="2:13" ht="15">
      <c r="B1136" s="645"/>
      <c r="C1136" s="429"/>
      <c r="D1136" s="429"/>
      <c r="E1136" s="429"/>
      <c r="F1136" s="429"/>
      <c r="G1136" s="429"/>
      <c r="H1136" s="429"/>
      <c r="I1136" s="429"/>
      <c r="J1136" s="429"/>
      <c r="K1136" s="429"/>
      <c r="L1136" s="429"/>
      <c r="M1136" s="429"/>
    </row>
    <row r="1137" spans="2:13" ht="15">
      <c r="B1137" s="645"/>
      <c r="C1137" s="429"/>
      <c r="D1137" s="429"/>
      <c r="E1137" s="429"/>
      <c r="F1137" s="429"/>
      <c r="G1137" s="429"/>
      <c r="H1137" s="429"/>
      <c r="I1137" s="429"/>
      <c r="J1137" s="429"/>
      <c r="K1137" s="429"/>
      <c r="L1137" s="429"/>
      <c r="M1137" s="429"/>
    </row>
    <row r="1138" spans="2:13" ht="15">
      <c r="B1138" s="645"/>
      <c r="C1138" s="429"/>
      <c r="D1138" s="429"/>
      <c r="E1138" s="429"/>
      <c r="F1138" s="429"/>
      <c r="G1138" s="429"/>
      <c r="H1138" s="429"/>
      <c r="I1138" s="429"/>
      <c r="J1138" s="429"/>
      <c r="K1138" s="429"/>
      <c r="L1138" s="429"/>
      <c r="M1138" s="429"/>
    </row>
    <row r="1139" spans="2:13" ht="15">
      <c r="B1139" s="645"/>
      <c r="C1139" s="429"/>
      <c r="D1139" s="429"/>
      <c r="E1139" s="429"/>
      <c r="F1139" s="429"/>
      <c r="G1139" s="429"/>
      <c r="H1139" s="429"/>
      <c r="I1139" s="429"/>
      <c r="J1139" s="429"/>
      <c r="K1139" s="429"/>
      <c r="L1139" s="429"/>
      <c r="M1139" s="429"/>
    </row>
    <row r="1140" spans="2:13" ht="15">
      <c r="B1140" s="645"/>
      <c r="C1140" s="429"/>
      <c r="D1140" s="429"/>
      <c r="E1140" s="429"/>
      <c r="F1140" s="429"/>
      <c r="G1140" s="429"/>
      <c r="H1140" s="429"/>
      <c r="I1140" s="429"/>
      <c r="J1140" s="429"/>
      <c r="K1140" s="429"/>
      <c r="L1140" s="429"/>
      <c r="M1140" s="429"/>
    </row>
    <row r="1141" spans="2:13" ht="15">
      <c r="B1141" s="645"/>
      <c r="C1141" s="429"/>
      <c r="D1141" s="429"/>
      <c r="E1141" s="429"/>
      <c r="F1141" s="429"/>
      <c r="G1141" s="429"/>
      <c r="H1141" s="429"/>
      <c r="I1141" s="429"/>
      <c r="J1141" s="429"/>
      <c r="K1141" s="429"/>
      <c r="L1141" s="429"/>
      <c r="M1141" s="429"/>
    </row>
    <row r="1142" spans="2:13" ht="15">
      <c r="B1142" s="645"/>
      <c r="C1142" s="429"/>
      <c r="D1142" s="429"/>
      <c r="E1142" s="429"/>
      <c r="F1142" s="429"/>
      <c r="G1142" s="429"/>
      <c r="H1142" s="429"/>
      <c r="I1142" s="429"/>
      <c r="J1142" s="429"/>
      <c r="K1142" s="429"/>
      <c r="L1142" s="429"/>
      <c r="M1142" s="429"/>
    </row>
    <row r="1143" spans="2:13" ht="15">
      <c r="B1143" s="645"/>
      <c r="C1143" s="429"/>
      <c r="D1143" s="429"/>
      <c r="E1143" s="429"/>
      <c r="F1143" s="429"/>
      <c r="G1143" s="429"/>
      <c r="H1143" s="429"/>
      <c r="I1143" s="429"/>
      <c r="J1143" s="429"/>
      <c r="K1143" s="429"/>
      <c r="L1143" s="429"/>
      <c r="M1143" s="429"/>
    </row>
    <row r="1144" spans="2:13" ht="15">
      <c r="B1144" s="645"/>
      <c r="C1144" s="429"/>
      <c r="D1144" s="429"/>
      <c r="E1144" s="429"/>
      <c r="F1144" s="429"/>
      <c r="G1144" s="429"/>
      <c r="H1144" s="429"/>
      <c r="I1144" s="429"/>
      <c r="J1144" s="429"/>
      <c r="K1144" s="429"/>
      <c r="L1144" s="429"/>
      <c r="M1144" s="429"/>
    </row>
    <row r="1145" spans="2:13" ht="15">
      <c r="B1145" s="645"/>
      <c r="C1145" s="429"/>
      <c r="D1145" s="429"/>
      <c r="E1145" s="429"/>
      <c r="F1145" s="429"/>
      <c r="G1145" s="429"/>
      <c r="H1145" s="429"/>
      <c r="I1145" s="429"/>
      <c r="J1145" s="429"/>
      <c r="K1145" s="429"/>
      <c r="L1145" s="429"/>
      <c r="M1145" s="429"/>
    </row>
    <row r="1146" spans="2:13" ht="15">
      <c r="B1146" s="645"/>
      <c r="C1146" s="429"/>
      <c r="D1146" s="429"/>
      <c r="E1146" s="429"/>
      <c r="F1146" s="429"/>
      <c r="G1146" s="429"/>
      <c r="H1146" s="429"/>
      <c r="I1146" s="429"/>
      <c r="J1146" s="429"/>
      <c r="K1146" s="429"/>
      <c r="L1146" s="429"/>
      <c r="M1146" s="429"/>
    </row>
    <row r="1147" spans="2:13" ht="15">
      <c r="B1147" s="645"/>
      <c r="C1147" s="429"/>
      <c r="D1147" s="429"/>
      <c r="E1147" s="429"/>
      <c r="F1147" s="429"/>
      <c r="G1147" s="429"/>
      <c r="H1147" s="429"/>
      <c r="I1147" s="429"/>
      <c r="J1147" s="429"/>
      <c r="K1147" s="429"/>
      <c r="L1147" s="429"/>
      <c r="M1147" s="429"/>
    </row>
    <row r="1148" spans="2:13" ht="15">
      <c r="B1148" s="645"/>
      <c r="C1148" s="429"/>
      <c r="D1148" s="429"/>
      <c r="E1148" s="429"/>
      <c r="F1148" s="429"/>
      <c r="G1148" s="429"/>
      <c r="H1148" s="429"/>
      <c r="I1148" s="429"/>
      <c r="J1148" s="429"/>
      <c r="K1148" s="429"/>
      <c r="L1148" s="429"/>
      <c r="M1148" s="429"/>
    </row>
    <row r="1149" spans="2:13" ht="15">
      <c r="B1149" s="645"/>
      <c r="C1149" s="429"/>
      <c r="D1149" s="429"/>
      <c r="E1149" s="429"/>
      <c r="F1149" s="429"/>
      <c r="G1149" s="429"/>
      <c r="H1149" s="429"/>
      <c r="I1149" s="429"/>
      <c r="J1149" s="429"/>
      <c r="K1149" s="429"/>
      <c r="L1149" s="429"/>
      <c r="M1149" s="429"/>
    </row>
    <row r="1150" spans="2:13" ht="15">
      <c r="B1150" s="645"/>
      <c r="C1150" s="429"/>
      <c r="D1150" s="429"/>
      <c r="E1150" s="429"/>
      <c r="F1150" s="429"/>
      <c r="G1150" s="429"/>
      <c r="H1150" s="429"/>
      <c r="I1150" s="429"/>
      <c r="J1150" s="429"/>
      <c r="K1150" s="429"/>
      <c r="L1150" s="429"/>
      <c r="M1150" s="429"/>
    </row>
    <row r="1151" spans="2:13" ht="15">
      <c r="B1151" s="645"/>
      <c r="C1151" s="429"/>
      <c r="D1151" s="429"/>
      <c r="E1151" s="429"/>
      <c r="F1151" s="429"/>
      <c r="G1151" s="429"/>
      <c r="H1151" s="429"/>
      <c r="I1151" s="429"/>
      <c r="J1151" s="429"/>
      <c r="K1151" s="429"/>
      <c r="L1151" s="429"/>
      <c r="M1151" s="429"/>
    </row>
    <row r="1152" spans="2:13" ht="15">
      <c r="B1152" s="645"/>
      <c r="C1152" s="429"/>
      <c r="D1152" s="429"/>
      <c r="E1152" s="429"/>
      <c r="F1152" s="429"/>
      <c r="G1152" s="429"/>
      <c r="H1152" s="429"/>
      <c r="I1152" s="429"/>
      <c r="J1152" s="429"/>
      <c r="K1152" s="429"/>
      <c r="L1152" s="429"/>
      <c r="M1152" s="429"/>
    </row>
    <row r="1153" spans="2:13" ht="15">
      <c r="B1153" s="645"/>
      <c r="C1153" s="429"/>
      <c r="D1153" s="429"/>
      <c r="E1153" s="429"/>
      <c r="F1153" s="429"/>
      <c r="G1153" s="429"/>
      <c r="H1153" s="429"/>
      <c r="I1153" s="429"/>
      <c r="J1153" s="429"/>
      <c r="K1153" s="429"/>
      <c r="L1153" s="429"/>
      <c r="M1153" s="429"/>
    </row>
    <row r="1154" spans="2:13" ht="15">
      <c r="B1154" s="645"/>
      <c r="C1154" s="429"/>
      <c r="D1154" s="429"/>
      <c r="E1154" s="429"/>
      <c r="F1154" s="429"/>
      <c r="G1154" s="429"/>
      <c r="H1154" s="429"/>
      <c r="I1154" s="429"/>
      <c r="J1154" s="429"/>
      <c r="K1154" s="429"/>
      <c r="L1154" s="429"/>
      <c r="M1154" s="429"/>
    </row>
    <row r="1155" spans="2:13" ht="15">
      <c r="B1155" s="645"/>
      <c r="C1155" s="429"/>
      <c r="D1155" s="429"/>
      <c r="E1155" s="429"/>
      <c r="F1155" s="429"/>
      <c r="G1155" s="429"/>
      <c r="H1155" s="429"/>
      <c r="I1155" s="429"/>
      <c r="J1155" s="429"/>
      <c r="K1155" s="429"/>
      <c r="L1155" s="429"/>
      <c r="M1155" s="429"/>
    </row>
    <row r="1156" spans="2:13" ht="15">
      <c r="B1156" s="645"/>
      <c r="C1156" s="429"/>
      <c r="D1156" s="429"/>
      <c r="E1156" s="429"/>
      <c r="F1156" s="429"/>
      <c r="G1156" s="429"/>
      <c r="H1156" s="429"/>
      <c r="I1156" s="429"/>
      <c r="J1156" s="429"/>
      <c r="K1156" s="429"/>
      <c r="L1156" s="429"/>
      <c r="M1156" s="429"/>
    </row>
    <row r="1157" spans="2:13" ht="15">
      <c r="B1157" s="645"/>
      <c r="C1157" s="429"/>
      <c r="D1157" s="429"/>
      <c r="E1157" s="429"/>
      <c r="F1157" s="429"/>
      <c r="G1157" s="429"/>
      <c r="H1157" s="429"/>
      <c r="I1157" s="429"/>
      <c r="J1157" s="429"/>
      <c r="K1157" s="429"/>
      <c r="L1157" s="429"/>
      <c r="M1157" s="429"/>
    </row>
    <row r="1158" spans="2:13" ht="15">
      <c r="B1158" s="645"/>
      <c r="C1158" s="429"/>
      <c r="D1158" s="429"/>
      <c r="E1158" s="429"/>
      <c r="F1158" s="429"/>
      <c r="G1158" s="429"/>
      <c r="H1158" s="429"/>
      <c r="I1158" s="429"/>
      <c r="J1158" s="429"/>
      <c r="K1158" s="429"/>
      <c r="L1158" s="429"/>
      <c r="M1158" s="429"/>
    </row>
    <row r="1159" spans="2:13" ht="15">
      <c r="B1159" s="645"/>
      <c r="C1159" s="429"/>
      <c r="D1159" s="429"/>
      <c r="E1159" s="429"/>
      <c r="F1159" s="429"/>
      <c r="G1159" s="429"/>
      <c r="H1159" s="429"/>
      <c r="I1159" s="429"/>
      <c r="J1159" s="429"/>
      <c r="K1159" s="429"/>
      <c r="L1159" s="429"/>
      <c r="M1159" s="429"/>
    </row>
    <row r="1160" spans="2:13" ht="15">
      <c r="B1160" s="645"/>
      <c r="C1160" s="429"/>
      <c r="D1160" s="429"/>
      <c r="E1160" s="429"/>
      <c r="F1160" s="429"/>
      <c r="G1160" s="429"/>
      <c r="H1160" s="429"/>
      <c r="I1160" s="429"/>
      <c r="J1160" s="429"/>
      <c r="K1160" s="429"/>
      <c r="L1160" s="429"/>
      <c r="M1160" s="429"/>
    </row>
    <row r="1161" spans="2:13" ht="15">
      <c r="B1161" s="645"/>
      <c r="C1161" s="429"/>
      <c r="D1161" s="429"/>
      <c r="E1161" s="429"/>
      <c r="F1161" s="429"/>
      <c r="G1161" s="429"/>
      <c r="H1161" s="429"/>
      <c r="I1161" s="429"/>
      <c r="J1161" s="429"/>
      <c r="K1161" s="429"/>
      <c r="L1161" s="429"/>
      <c r="M1161" s="429"/>
    </row>
    <row r="1162" spans="2:13" ht="15">
      <c r="B1162" s="645"/>
      <c r="C1162" s="429"/>
      <c r="D1162" s="429"/>
      <c r="E1162" s="429"/>
      <c r="F1162" s="429"/>
      <c r="G1162" s="429"/>
      <c r="H1162" s="429"/>
      <c r="I1162" s="429"/>
      <c r="J1162" s="429"/>
      <c r="K1162" s="429"/>
      <c r="L1162" s="429"/>
      <c r="M1162" s="429"/>
    </row>
    <row r="1163" spans="2:13" ht="15">
      <c r="B1163" s="645"/>
      <c r="C1163" s="429"/>
      <c r="D1163" s="429"/>
      <c r="E1163" s="429"/>
      <c r="F1163" s="429"/>
      <c r="G1163" s="429"/>
      <c r="H1163" s="429"/>
      <c r="I1163" s="429"/>
      <c r="J1163" s="429"/>
      <c r="K1163" s="429"/>
      <c r="L1163" s="429"/>
      <c r="M1163" s="429"/>
    </row>
    <row r="1164" spans="2:13" ht="15">
      <c r="B1164" s="645"/>
      <c r="C1164" s="429"/>
      <c r="D1164" s="429"/>
      <c r="E1164" s="429"/>
      <c r="F1164" s="429"/>
      <c r="G1164" s="429"/>
      <c r="H1164" s="429"/>
      <c r="I1164" s="429"/>
      <c r="J1164" s="429"/>
      <c r="K1164" s="429"/>
      <c r="L1164" s="429"/>
      <c r="M1164" s="429"/>
    </row>
    <row r="1165" spans="2:13" ht="15">
      <c r="B1165" s="645"/>
      <c r="C1165" s="429"/>
      <c r="D1165" s="429"/>
      <c r="E1165" s="429"/>
      <c r="F1165" s="429"/>
      <c r="G1165" s="429"/>
      <c r="H1165" s="429"/>
      <c r="I1165" s="429"/>
      <c r="J1165" s="429"/>
      <c r="K1165" s="429"/>
      <c r="L1165" s="429"/>
      <c r="M1165" s="429"/>
    </row>
    <row r="1166" spans="2:13" ht="15">
      <c r="B1166" s="645"/>
      <c r="C1166" s="429"/>
      <c r="D1166" s="429"/>
      <c r="E1166" s="429"/>
      <c r="F1166" s="429"/>
      <c r="G1166" s="429"/>
      <c r="H1166" s="429"/>
      <c r="I1166" s="429"/>
      <c r="J1166" s="429"/>
      <c r="K1166" s="429"/>
      <c r="L1166" s="429"/>
      <c r="M1166" s="429"/>
    </row>
    <row r="1167" spans="2:13" ht="15">
      <c r="B1167" s="645"/>
      <c r="C1167" s="429"/>
      <c r="D1167" s="429"/>
      <c r="E1167" s="429"/>
      <c r="F1167" s="429"/>
      <c r="G1167" s="429"/>
      <c r="H1167" s="429"/>
      <c r="I1167" s="429"/>
      <c r="J1167" s="429"/>
      <c r="K1167" s="429"/>
      <c r="L1167" s="429"/>
      <c r="M1167" s="429"/>
    </row>
    <row r="1168" spans="2:13" ht="15">
      <c r="B1168" s="645"/>
      <c r="C1168" s="429"/>
      <c r="D1168" s="429"/>
      <c r="E1168" s="429"/>
      <c r="F1168" s="429"/>
      <c r="G1168" s="429"/>
      <c r="H1168" s="429"/>
      <c r="I1168" s="429"/>
      <c r="J1168" s="429"/>
      <c r="K1168" s="429"/>
      <c r="L1168" s="429"/>
      <c r="M1168" s="429"/>
    </row>
    <row r="1169" spans="2:13" ht="15">
      <c r="B1169" s="645"/>
      <c r="C1169" s="429"/>
      <c r="D1169" s="429"/>
      <c r="E1169" s="429"/>
      <c r="F1169" s="429"/>
      <c r="G1169" s="429"/>
      <c r="H1169" s="429"/>
      <c r="I1169" s="429"/>
      <c r="J1169" s="429"/>
      <c r="K1169" s="429"/>
      <c r="L1169" s="429"/>
      <c r="M1169" s="429"/>
    </row>
    <row r="1170" spans="2:13" ht="15">
      <c r="B1170" s="645"/>
      <c r="C1170" s="429"/>
      <c r="D1170" s="429"/>
      <c r="E1170" s="429"/>
      <c r="F1170" s="429"/>
      <c r="G1170" s="429"/>
      <c r="H1170" s="429"/>
      <c r="I1170" s="429"/>
      <c r="J1170" s="429"/>
      <c r="K1170" s="429"/>
      <c r="L1170" s="429"/>
      <c r="M1170" s="429"/>
    </row>
    <row r="1171" spans="2:13" ht="15">
      <c r="B1171" s="645"/>
      <c r="C1171" s="429"/>
      <c r="D1171" s="429"/>
      <c r="E1171" s="429"/>
      <c r="F1171" s="429"/>
      <c r="G1171" s="429"/>
      <c r="H1171" s="429"/>
      <c r="I1171" s="429"/>
      <c r="J1171" s="429"/>
      <c r="K1171" s="429"/>
      <c r="L1171" s="429"/>
      <c r="M1171" s="429"/>
    </row>
    <row r="1172" spans="2:13" ht="15">
      <c r="B1172" s="645"/>
      <c r="C1172" s="429"/>
      <c r="D1172" s="429"/>
      <c r="E1172" s="429"/>
      <c r="F1172" s="429"/>
      <c r="G1172" s="429"/>
      <c r="H1172" s="429"/>
      <c r="I1172" s="429"/>
      <c r="J1172" s="429"/>
      <c r="K1172" s="429"/>
      <c r="L1172" s="429"/>
      <c r="M1172" s="429"/>
    </row>
    <row r="1173" spans="2:13" ht="15">
      <c r="B1173" s="645"/>
      <c r="C1173" s="429"/>
      <c r="D1173" s="429"/>
      <c r="E1173" s="429"/>
      <c r="F1173" s="429"/>
      <c r="G1173" s="429"/>
      <c r="H1173" s="429"/>
      <c r="I1173" s="429"/>
      <c r="J1173" s="429"/>
      <c r="K1173" s="429"/>
      <c r="L1173" s="429"/>
      <c r="M1173" s="429"/>
    </row>
    <row r="1174" spans="2:13" ht="15">
      <c r="B1174" s="645"/>
      <c r="C1174" s="429"/>
      <c r="D1174" s="429"/>
      <c r="E1174" s="429"/>
      <c r="F1174" s="429"/>
      <c r="G1174" s="429"/>
      <c r="H1174" s="429"/>
      <c r="I1174" s="429"/>
      <c r="J1174" s="429"/>
      <c r="K1174" s="429"/>
      <c r="L1174" s="429"/>
      <c r="M1174" s="429"/>
    </row>
    <row r="1175" spans="2:13" ht="15">
      <c r="B1175" s="645"/>
      <c r="C1175" s="429"/>
      <c r="D1175" s="429"/>
      <c r="E1175" s="429"/>
      <c r="F1175" s="429"/>
      <c r="G1175" s="429"/>
      <c r="H1175" s="429"/>
      <c r="I1175" s="429"/>
      <c r="J1175" s="429"/>
      <c r="K1175" s="429"/>
      <c r="L1175" s="429"/>
      <c r="M1175" s="429"/>
    </row>
    <row r="1176" spans="2:13" ht="15">
      <c r="B1176" s="645"/>
      <c r="C1176" s="429"/>
      <c r="D1176" s="429"/>
      <c r="E1176" s="429"/>
      <c r="F1176" s="429"/>
      <c r="G1176" s="429"/>
      <c r="H1176" s="429"/>
      <c r="I1176" s="429"/>
      <c r="J1176" s="429"/>
      <c r="K1176" s="429"/>
      <c r="L1176" s="429"/>
      <c r="M1176" s="429"/>
    </row>
    <row r="1177" spans="2:13" ht="15">
      <c r="B1177" s="645"/>
      <c r="C1177" s="429"/>
      <c r="D1177" s="429"/>
      <c r="E1177" s="429"/>
      <c r="F1177" s="429"/>
      <c r="G1177" s="429"/>
      <c r="H1177" s="429"/>
      <c r="I1177" s="429"/>
      <c r="J1177" s="429"/>
      <c r="K1177" s="429"/>
      <c r="L1177" s="429"/>
      <c r="M1177" s="429"/>
    </row>
    <row r="1178" spans="2:13" ht="15">
      <c r="B1178" s="645"/>
      <c r="C1178" s="429"/>
      <c r="D1178" s="429"/>
      <c r="E1178" s="429"/>
      <c r="F1178" s="429"/>
      <c r="G1178" s="429"/>
      <c r="H1178" s="429"/>
      <c r="I1178" s="429"/>
      <c r="J1178" s="429"/>
      <c r="K1178" s="429"/>
      <c r="L1178" s="429"/>
      <c r="M1178" s="429"/>
    </row>
    <row r="1179" spans="2:13" ht="15">
      <c r="B1179" s="645"/>
      <c r="C1179" s="429"/>
      <c r="D1179" s="429"/>
      <c r="E1179" s="429"/>
      <c r="F1179" s="429"/>
      <c r="G1179" s="429"/>
      <c r="H1179" s="429"/>
      <c r="I1179" s="429"/>
      <c r="J1179" s="429"/>
      <c r="K1179" s="429"/>
      <c r="L1179" s="429"/>
      <c r="M1179" s="429"/>
    </row>
    <row r="1180" spans="2:13" ht="15">
      <c r="B1180" s="645"/>
      <c r="C1180" s="429"/>
      <c r="D1180" s="429"/>
      <c r="E1180" s="429"/>
      <c r="F1180" s="429"/>
      <c r="G1180" s="429"/>
      <c r="H1180" s="429"/>
      <c r="I1180" s="429"/>
      <c r="J1180" s="429"/>
      <c r="K1180" s="429"/>
      <c r="L1180" s="429"/>
      <c r="M1180" s="429"/>
    </row>
    <row r="1181" spans="2:13" ht="15">
      <c r="B1181" s="645"/>
      <c r="C1181" s="429"/>
      <c r="D1181" s="429"/>
      <c r="E1181" s="429"/>
      <c r="F1181" s="429"/>
      <c r="G1181" s="429"/>
      <c r="H1181" s="429"/>
      <c r="I1181" s="429"/>
      <c r="J1181" s="429"/>
      <c r="K1181" s="429"/>
      <c r="L1181" s="429"/>
      <c r="M1181" s="429"/>
    </row>
    <row r="1182" spans="2:13" ht="15">
      <c r="B1182" s="645"/>
      <c r="C1182" s="429"/>
      <c r="D1182" s="429"/>
      <c r="E1182" s="429"/>
      <c r="F1182" s="429"/>
      <c r="G1182" s="429"/>
      <c r="H1182" s="429"/>
      <c r="I1182" s="429"/>
      <c r="J1182" s="429"/>
      <c r="K1182" s="429"/>
      <c r="L1182" s="429"/>
      <c r="M1182" s="429"/>
    </row>
    <row r="1183" spans="2:13" ht="15">
      <c r="B1183" s="645"/>
      <c r="C1183" s="429"/>
      <c r="D1183" s="429"/>
      <c r="E1183" s="429"/>
      <c r="F1183" s="429"/>
      <c r="G1183" s="429"/>
      <c r="H1183" s="429"/>
      <c r="I1183" s="429"/>
      <c r="J1183" s="429"/>
      <c r="K1183" s="429"/>
      <c r="L1183" s="429"/>
      <c r="M1183" s="429"/>
    </row>
    <row r="1184" spans="2:13" ht="15">
      <c r="B1184" s="645"/>
      <c r="C1184" s="429"/>
      <c r="D1184" s="429"/>
      <c r="E1184" s="429"/>
      <c r="F1184" s="429"/>
      <c r="G1184" s="429"/>
      <c r="H1184" s="429"/>
      <c r="I1184" s="429"/>
      <c r="J1184" s="429"/>
      <c r="K1184" s="429"/>
      <c r="L1184" s="429"/>
      <c r="M1184" s="429"/>
    </row>
    <row r="1185" spans="2:13" ht="15">
      <c r="B1185" s="645"/>
      <c r="C1185" s="429"/>
      <c r="D1185" s="429"/>
      <c r="E1185" s="429"/>
      <c r="F1185" s="429"/>
      <c r="G1185" s="429"/>
      <c r="H1185" s="429"/>
      <c r="I1185" s="429"/>
      <c r="J1185" s="429"/>
      <c r="K1185" s="429"/>
      <c r="L1185" s="429"/>
      <c r="M1185" s="429"/>
    </row>
    <row r="1186" spans="2:13" ht="15">
      <c r="B1186" s="645"/>
      <c r="C1186" s="429"/>
      <c r="D1186" s="429"/>
      <c r="E1186" s="429"/>
      <c r="F1186" s="429"/>
      <c r="G1186" s="429"/>
      <c r="H1186" s="429"/>
      <c r="I1186" s="429"/>
      <c r="J1186" s="429"/>
      <c r="K1186" s="429"/>
      <c r="L1186" s="429"/>
      <c r="M1186" s="429"/>
    </row>
    <row r="1187" spans="2:13" ht="15">
      <c r="B1187" s="645"/>
      <c r="C1187" s="429"/>
      <c r="D1187" s="429"/>
      <c r="E1187" s="429"/>
      <c r="F1187" s="429"/>
      <c r="G1187" s="429"/>
      <c r="H1187" s="429"/>
      <c r="I1187" s="429"/>
      <c r="J1187" s="429"/>
      <c r="K1187" s="429"/>
      <c r="L1187" s="429"/>
      <c r="M1187" s="429"/>
    </row>
    <row r="1188" spans="2:13" ht="15">
      <c r="B1188" s="645"/>
      <c r="C1188" s="429"/>
      <c r="D1188" s="429"/>
      <c r="E1188" s="429"/>
      <c r="F1188" s="429"/>
      <c r="G1188" s="429"/>
      <c r="H1188" s="429"/>
      <c r="I1188" s="429"/>
      <c r="J1188" s="429"/>
      <c r="K1188" s="429"/>
      <c r="L1188" s="429"/>
      <c r="M1188" s="429"/>
    </row>
    <row r="1189" spans="2:13" ht="15">
      <c r="B1189" s="645"/>
      <c r="C1189" s="429"/>
      <c r="D1189" s="429"/>
      <c r="E1189" s="429"/>
      <c r="F1189" s="429"/>
      <c r="G1189" s="429"/>
      <c r="H1189" s="429"/>
      <c r="I1189" s="429"/>
      <c r="J1189" s="429"/>
      <c r="K1189" s="429"/>
      <c r="L1189" s="429"/>
      <c r="M1189" s="429"/>
    </row>
    <row r="1190" spans="2:13" ht="15">
      <c r="B1190" s="645"/>
      <c r="C1190" s="429"/>
      <c r="D1190" s="429"/>
      <c r="E1190" s="429"/>
      <c r="F1190" s="429"/>
      <c r="G1190" s="429"/>
      <c r="H1190" s="429"/>
      <c r="I1190" s="429"/>
      <c r="J1190" s="429"/>
      <c r="K1190" s="429"/>
      <c r="L1190" s="429"/>
      <c r="M1190" s="429"/>
    </row>
    <row r="1191" spans="2:13" ht="15">
      <c r="B1191" s="645"/>
      <c r="C1191" s="429"/>
      <c r="D1191" s="429"/>
      <c r="E1191" s="429"/>
      <c r="F1191" s="429"/>
      <c r="G1191" s="429"/>
      <c r="H1191" s="429"/>
      <c r="I1191" s="429"/>
      <c r="J1191" s="429"/>
      <c r="K1191" s="429"/>
      <c r="L1191" s="429"/>
      <c r="M1191" s="429"/>
    </row>
    <row r="1192" spans="2:13" ht="15">
      <c r="B1192" s="645"/>
      <c r="C1192" s="429"/>
      <c r="D1192" s="429"/>
      <c r="E1192" s="429"/>
      <c r="F1192" s="429"/>
      <c r="G1192" s="429"/>
      <c r="H1192" s="429"/>
      <c r="I1192" s="429"/>
      <c r="J1192" s="429"/>
      <c r="K1192" s="429"/>
      <c r="L1192" s="429"/>
      <c r="M1192" s="429"/>
    </row>
    <row r="1193" spans="2:13" ht="15">
      <c r="B1193" s="645"/>
      <c r="C1193" s="429"/>
      <c r="D1193" s="429"/>
      <c r="E1193" s="429"/>
      <c r="F1193" s="429"/>
      <c r="G1193" s="429"/>
      <c r="H1193" s="429"/>
      <c r="I1193" s="429"/>
      <c r="J1193" s="429"/>
      <c r="K1193" s="429"/>
      <c r="L1193" s="429"/>
      <c r="M1193" s="429"/>
    </row>
    <row r="1194" spans="2:13" ht="15">
      <c r="B1194" s="645"/>
      <c r="C1194" s="429"/>
      <c r="D1194" s="429"/>
      <c r="E1194" s="429"/>
      <c r="F1194" s="429"/>
      <c r="G1194" s="429"/>
      <c r="H1194" s="429"/>
      <c r="I1194" s="429"/>
      <c r="J1194" s="429"/>
      <c r="K1194" s="429"/>
      <c r="L1194" s="429"/>
      <c r="M1194" s="429"/>
    </row>
    <row r="1195" spans="2:13" ht="15">
      <c r="B1195" s="645"/>
      <c r="C1195" s="429"/>
      <c r="D1195" s="429"/>
      <c r="E1195" s="429"/>
      <c r="F1195" s="429"/>
      <c r="G1195" s="429"/>
      <c r="H1195" s="429"/>
      <c r="I1195" s="429"/>
      <c r="J1195" s="429"/>
      <c r="K1195" s="429"/>
      <c r="L1195" s="429"/>
      <c r="M1195" s="429"/>
    </row>
    <row r="1196" spans="2:13" ht="15">
      <c r="B1196" s="645"/>
      <c r="C1196" s="429"/>
      <c r="D1196" s="429"/>
      <c r="E1196" s="429"/>
      <c r="F1196" s="429"/>
      <c r="G1196" s="429"/>
      <c r="H1196" s="429"/>
      <c r="I1196" s="429"/>
      <c r="J1196" s="429"/>
      <c r="K1196" s="429"/>
      <c r="L1196" s="429"/>
      <c r="M1196" s="429"/>
    </row>
    <row r="1197" spans="2:13" ht="15">
      <c r="B1197" s="645"/>
      <c r="C1197" s="429"/>
      <c r="D1197" s="429"/>
      <c r="E1197" s="429"/>
      <c r="F1197" s="429"/>
      <c r="G1197" s="429"/>
      <c r="H1197" s="429"/>
      <c r="I1197" s="429"/>
      <c r="J1197" s="429"/>
      <c r="K1197" s="429"/>
      <c r="L1197" s="429"/>
      <c r="M1197" s="429"/>
    </row>
    <row r="1198" spans="2:13" ht="15">
      <c r="B1198" s="645"/>
      <c r="C1198" s="429"/>
      <c r="D1198" s="429"/>
      <c r="E1198" s="429"/>
      <c r="F1198" s="429"/>
      <c r="G1198" s="429"/>
      <c r="H1198" s="429"/>
      <c r="I1198" s="429"/>
      <c r="J1198" s="429"/>
      <c r="K1198" s="429"/>
      <c r="L1198" s="429"/>
      <c r="M1198" s="429"/>
    </row>
    <row r="1199" spans="2:13" ht="15">
      <c r="B1199" s="645"/>
      <c r="C1199" s="429"/>
      <c r="D1199" s="429"/>
      <c r="E1199" s="429"/>
      <c r="F1199" s="429"/>
      <c r="G1199" s="429"/>
      <c r="H1199" s="429"/>
      <c r="I1199" s="429"/>
      <c r="J1199" s="429"/>
      <c r="K1199" s="429"/>
      <c r="L1199" s="429"/>
      <c r="M1199" s="429"/>
    </row>
    <row r="1200" spans="2:13" ht="15">
      <c r="B1200" s="645"/>
      <c r="C1200" s="429"/>
      <c r="D1200" s="429"/>
      <c r="E1200" s="429"/>
      <c r="F1200" s="429"/>
      <c r="G1200" s="429"/>
      <c r="H1200" s="429"/>
      <c r="I1200" s="429"/>
      <c r="J1200" s="429"/>
      <c r="K1200" s="429"/>
      <c r="L1200" s="429"/>
      <c r="M1200" s="429"/>
    </row>
    <row r="1201" spans="2:13" ht="15">
      <c r="B1201" s="645"/>
      <c r="C1201" s="429"/>
      <c r="D1201" s="429"/>
      <c r="E1201" s="429"/>
      <c r="F1201" s="429"/>
      <c r="G1201" s="429"/>
      <c r="H1201" s="429"/>
      <c r="I1201" s="429"/>
      <c r="J1201" s="429"/>
      <c r="K1201" s="429"/>
      <c r="L1201" s="429"/>
      <c r="M1201" s="429"/>
    </row>
    <row r="1202" spans="2:13" ht="15">
      <c r="B1202" s="645"/>
      <c r="C1202" s="429"/>
      <c r="D1202" s="429"/>
      <c r="E1202" s="429"/>
      <c r="F1202" s="429"/>
      <c r="G1202" s="429"/>
      <c r="H1202" s="429"/>
      <c r="I1202" s="429"/>
      <c r="J1202" s="429"/>
      <c r="K1202" s="429"/>
      <c r="L1202" s="429"/>
      <c r="M1202" s="429"/>
    </row>
    <row r="1203" spans="2:13" ht="15">
      <c r="B1203" s="645"/>
      <c r="C1203" s="429"/>
      <c r="D1203" s="429"/>
      <c r="E1203" s="429"/>
      <c r="F1203" s="429"/>
      <c r="G1203" s="429"/>
      <c r="H1203" s="429"/>
      <c r="I1203" s="429"/>
      <c r="J1203" s="429"/>
      <c r="K1203" s="429"/>
      <c r="L1203" s="429"/>
      <c r="M1203" s="429"/>
    </row>
    <row r="1204" spans="2:13" ht="15">
      <c r="B1204" s="645"/>
      <c r="C1204" s="429"/>
      <c r="D1204" s="429"/>
      <c r="E1204" s="429"/>
      <c r="F1204" s="429"/>
      <c r="G1204" s="429"/>
      <c r="H1204" s="429"/>
      <c r="I1204" s="429"/>
      <c r="J1204" s="429"/>
      <c r="K1204" s="429"/>
      <c r="L1204" s="429"/>
      <c r="M1204" s="429"/>
    </row>
    <row r="1205" spans="2:13" ht="15">
      <c r="B1205" s="645"/>
      <c r="C1205" s="429"/>
      <c r="D1205" s="429"/>
      <c r="E1205" s="429"/>
      <c r="F1205" s="429"/>
      <c r="G1205" s="429"/>
      <c r="H1205" s="429"/>
      <c r="I1205" s="429"/>
      <c r="J1205" s="429"/>
      <c r="K1205" s="429"/>
      <c r="L1205" s="429"/>
      <c r="M1205" s="429"/>
    </row>
    <row r="1206" spans="2:13" ht="15">
      <c r="B1206" s="645"/>
      <c r="C1206" s="429"/>
      <c r="D1206" s="429"/>
      <c r="E1206" s="429"/>
      <c r="F1206" s="429"/>
      <c r="G1206" s="429"/>
      <c r="H1206" s="429"/>
      <c r="I1206" s="429"/>
      <c r="J1206" s="429"/>
      <c r="K1206" s="429"/>
      <c r="L1206" s="429"/>
      <c r="M1206" s="429"/>
    </row>
    <row r="1207" spans="2:13" ht="15">
      <c r="B1207" s="645"/>
      <c r="C1207" s="429"/>
      <c r="D1207" s="429"/>
      <c r="E1207" s="429"/>
      <c r="F1207" s="429"/>
      <c r="G1207" s="429"/>
      <c r="H1207" s="429"/>
      <c r="I1207" s="429"/>
      <c r="J1207" s="429"/>
      <c r="K1207" s="429"/>
      <c r="L1207" s="429"/>
      <c r="M1207" s="429"/>
    </row>
    <row r="1208" spans="2:13" ht="15">
      <c r="B1208" s="645"/>
      <c r="C1208" s="429"/>
      <c r="D1208" s="429"/>
      <c r="E1208" s="429"/>
      <c r="F1208" s="429"/>
      <c r="G1208" s="429"/>
      <c r="H1208" s="429"/>
      <c r="I1208" s="429"/>
      <c r="J1208" s="429"/>
      <c r="K1208" s="429"/>
      <c r="L1208" s="429"/>
      <c r="M1208" s="429"/>
    </row>
    <row r="1209" spans="2:13" ht="15">
      <c r="B1209" s="645"/>
      <c r="C1209" s="429"/>
      <c r="D1209" s="429"/>
      <c r="E1209" s="429"/>
      <c r="F1209" s="429"/>
      <c r="G1209" s="429"/>
      <c r="H1209" s="429"/>
      <c r="I1209" s="429"/>
      <c r="J1209" s="429"/>
      <c r="K1209" s="429"/>
      <c r="L1209" s="429"/>
      <c r="M1209" s="429"/>
    </row>
    <row r="1210" spans="2:13" ht="15">
      <c r="B1210" s="645"/>
      <c r="C1210" s="429"/>
      <c r="D1210" s="429"/>
      <c r="E1210" s="429"/>
      <c r="F1210" s="429"/>
      <c r="G1210" s="429"/>
      <c r="H1210" s="429"/>
      <c r="I1210" s="429"/>
      <c r="J1210" s="429"/>
      <c r="K1210" s="429"/>
      <c r="L1210" s="429"/>
      <c r="M1210" s="429"/>
    </row>
    <row r="1211" spans="2:13" ht="15">
      <c r="B1211" s="645"/>
      <c r="C1211" s="429"/>
      <c r="D1211" s="429"/>
      <c r="E1211" s="429"/>
      <c r="F1211" s="429"/>
      <c r="G1211" s="429"/>
      <c r="H1211" s="429"/>
      <c r="I1211" s="429"/>
      <c r="J1211" s="429"/>
      <c r="K1211" s="429"/>
      <c r="L1211" s="429"/>
      <c r="M1211" s="429"/>
    </row>
    <row r="1212" spans="2:13" ht="15">
      <c r="B1212" s="645"/>
      <c r="C1212" s="429"/>
      <c r="D1212" s="429"/>
      <c r="E1212" s="429"/>
      <c r="F1212" s="429"/>
      <c r="G1212" s="429"/>
      <c r="H1212" s="429"/>
      <c r="I1212" s="429"/>
      <c r="J1212" s="429"/>
      <c r="K1212" s="429"/>
      <c r="L1212" s="429"/>
      <c r="M1212" s="429"/>
    </row>
    <row r="1213" spans="2:13" ht="15">
      <c r="B1213" s="645"/>
      <c r="C1213" s="429"/>
      <c r="D1213" s="429"/>
      <c r="E1213" s="429"/>
      <c r="F1213" s="429"/>
      <c r="G1213" s="429"/>
      <c r="H1213" s="429"/>
      <c r="I1213" s="429"/>
      <c r="J1213" s="429"/>
      <c r="K1213" s="429"/>
      <c r="L1213" s="429"/>
      <c r="M1213" s="429"/>
    </row>
    <row r="1214" spans="2:13" ht="15">
      <c r="B1214" s="645"/>
      <c r="C1214" s="429"/>
      <c r="D1214" s="429"/>
      <c r="E1214" s="429"/>
      <c r="F1214" s="429"/>
      <c r="G1214" s="429"/>
      <c r="H1214" s="429"/>
      <c r="I1214" s="429"/>
      <c r="J1214" s="429"/>
      <c r="K1214" s="429"/>
      <c r="L1214" s="429"/>
      <c r="M1214" s="429"/>
    </row>
    <row r="1215" spans="2:13" ht="15">
      <c r="B1215" s="645"/>
      <c r="C1215" s="429"/>
      <c r="D1215" s="429"/>
      <c r="E1215" s="429"/>
      <c r="F1215" s="429"/>
      <c r="G1215" s="429"/>
      <c r="H1215" s="429"/>
      <c r="I1215" s="429"/>
      <c r="J1215" s="429"/>
      <c r="K1215" s="429"/>
      <c r="L1215" s="429"/>
      <c r="M1215" s="429"/>
    </row>
    <row r="1216" spans="2:13" ht="15">
      <c r="B1216" s="645"/>
      <c r="C1216" s="429"/>
      <c r="D1216" s="429"/>
      <c r="E1216" s="429"/>
      <c r="F1216" s="429"/>
      <c r="G1216" s="429"/>
      <c r="H1216" s="429"/>
      <c r="I1216" s="429"/>
      <c r="J1216" s="429"/>
      <c r="K1216" s="429"/>
      <c r="L1216" s="429"/>
      <c r="M1216" s="429"/>
    </row>
    <row r="1217" spans="2:13" ht="15">
      <c r="B1217" s="645"/>
      <c r="C1217" s="429"/>
      <c r="D1217" s="429"/>
      <c r="E1217" s="429"/>
      <c r="F1217" s="429"/>
      <c r="G1217" s="429"/>
      <c r="H1217" s="429"/>
      <c r="I1217" s="429"/>
      <c r="J1217" s="429"/>
      <c r="K1217" s="429"/>
      <c r="L1217" s="429"/>
      <c r="M1217" s="429"/>
    </row>
    <row r="1218" spans="2:13" ht="15">
      <c r="B1218" s="645"/>
      <c r="C1218" s="429"/>
      <c r="D1218" s="429"/>
      <c r="E1218" s="429"/>
      <c r="F1218" s="429"/>
      <c r="G1218" s="429"/>
      <c r="H1218" s="429"/>
      <c r="I1218" s="429"/>
      <c r="J1218" s="429"/>
      <c r="K1218" s="429"/>
      <c r="L1218" s="429"/>
      <c r="M1218" s="429"/>
    </row>
    <row r="1219" spans="2:13" ht="15">
      <c r="B1219" s="645"/>
      <c r="C1219" s="429"/>
      <c r="D1219" s="429"/>
      <c r="E1219" s="429"/>
      <c r="F1219" s="429"/>
      <c r="G1219" s="429"/>
      <c r="H1219" s="429"/>
      <c r="I1219" s="429"/>
      <c r="J1219" s="429"/>
      <c r="K1219" s="429"/>
      <c r="L1219" s="429"/>
      <c r="M1219" s="429"/>
    </row>
    <row r="1220" spans="2:13" ht="15">
      <c r="B1220" s="645"/>
      <c r="C1220" s="429"/>
      <c r="D1220" s="429"/>
      <c r="E1220" s="429"/>
      <c r="F1220" s="429"/>
      <c r="G1220" s="429"/>
      <c r="H1220" s="429"/>
      <c r="I1220" s="429"/>
      <c r="J1220" s="429"/>
      <c r="K1220" s="429"/>
      <c r="L1220" s="429"/>
      <c r="M1220" s="429"/>
    </row>
    <row r="1221" spans="2:13" ht="15">
      <c r="B1221" s="645"/>
      <c r="C1221" s="429"/>
      <c r="D1221" s="429"/>
      <c r="E1221" s="429"/>
      <c r="F1221" s="429"/>
      <c r="G1221" s="429"/>
      <c r="H1221" s="429"/>
      <c r="I1221" s="429"/>
      <c r="J1221" s="429"/>
      <c r="K1221" s="429"/>
      <c r="L1221" s="429"/>
      <c r="M1221" s="429"/>
    </row>
    <row r="1222" spans="2:13" ht="15">
      <c r="B1222" s="645"/>
      <c r="C1222" s="429"/>
      <c r="D1222" s="429"/>
      <c r="E1222" s="429"/>
      <c r="F1222" s="429"/>
      <c r="G1222" s="429"/>
      <c r="H1222" s="429"/>
      <c r="I1222" s="429"/>
      <c r="J1222" s="429"/>
      <c r="K1222" s="429"/>
      <c r="L1222" s="429"/>
      <c r="M1222" s="429"/>
    </row>
    <row r="1223" spans="2:13" ht="15">
      <c r="B1223" s="645"/>
      <c r="C1223" s="429"/>
      <c r="D1223" s="429"/>
      <c r="E1223" s="429"/>
      <c r="F1223" s="429"/>
      <c r="G1223" s="429"/>
      <c r="H1223" s="429"/>
      <c r="I1223" s="429"/>
      <c r="J1223" s="429"/>
      <c r="K1223" s="429"/>
      <c r="L1223" s="429"/>
      <c r="M1223" s="429"/>
    </row>
    <row r="1224" spans="2:13" ht="15">
      <c r="B1224" s="645"/>
      <c r="C1224" s="429"/>
      <c r="D1224" s="429"/>
      <c r="E1224" s="429"/>
      <c r="F1224" s="429"/>
      <c r="G1224" s="429"/>
      <c r="H1224" s="429"/>
      <c r="I1224" s="429"/>
      <c r="J1224" s="429"/>
      <c r="K1224" s="429"/>
      <c r="L1224" s="429"/>
      <c r="M1224" s="429"/>
    </row>
    <row r="1225" spans="2:13" ht="15">
      <c r="B1225" s="645"/>
      <c r="C1225" s="429"/>
      <c r="D1225" s="429"/>
      <c r="E1225" s="429"/>
      <c r="F1225" s="429"/>
      <c r="G1225" s="429"/>
      <c r="H1225" s="429"/>
      <c r="I1225" s="429"/>
      <c r="J1225" s="429"/>
      <c r="K1225" s="429"/>
      <c r="L1225" s="429"/>
      <c r="M1225" s="429"/>
    </row>
    <row r="1226" spans="2:13" ht="15">
      <c r="B1226" s="645"/>
      <c r="C1226" s="429"/>
      <c r="D1226" s="429"/>
      <c r="E1226" s="429"/>
      <c r="F1226" s="429"/>
      <c r="G1226" s="429"/>
      <c r="H1226" s="429"/>
      <c r="I1226" s="429"/>
      <c r="J1226" s="429"/>
      <c r="K1226" s="429"/>
      <c r="L1226" s="429"/>
      <c r="M1226" s="429"/>
    </row>
    <row r="1227" spans="2:13" ht="15">
      <c r="B1227" s="645"/>
      <c r="C1227" s="429"/>
      <c r="D1227" s="429"/>
      <c r="E1227" s="429"/>
      <c r="F1227" s="429"/>
      <c r="G1227" s="429"/>
      <c r="H1227" s="429"/>
      <c r="I1227" s="429"/>
      <c r="J1227" s="429"/>
      <c r="K1227" s="429"/>
      <c r="L1227" s="429"/>
      <c r="M1227" s="429"/>
    </row>
    <row r="1228" spans="2:13" ht="15">
      <c r="B1228" s="645"/>
      <c r="C1228" s="429"/>
      <c r="D1228" s="429"/>
      <c r="E1228" s="429"/>
      <c r="F1228" s="429"/>
      <c r="G1228" s="429"/>
      <c r="H1228" s="429"/>
      <c r="I1228" s="429"/>
      <c r="J1228" s="429"/>
      <c r="K1228" s="429"/>
      <c r="L1228" s="429"/>
      <c r="M1228" s="429"/>
    </row>
    <row r="1229" spans="2:13" ht="15">
      <c r="B1229" s="645"/>
      <c r="C1229" s="429"/>
      <c r="D1229" s="429"/>
      <c r="E1229" s="429"/>
      <c r="F1229" s="429"/>
      <c r="G1229" s="429"/>
      <c r="H1229" s="429"/>
      <c r="I1229" s="429"/>
      <c r="J1229" s="429"/>
      <c r="K1229" s="429"/>
      <c r="L1229" s="429"/>
      <c r="M1229" s="429"/>
    </row>
    <row r="1230" spans="2:13" ht="15">
      <c r="B1230" s="645"/>
      <c r="C1230" s="429"/>
      <c r="D1230" s="429"/>
      <c r="E1230" s="429"/>
      <c r="F1230" s="429"/>
      <c r="G1230" s="429"/>
      <c r="H1230" s="429"/>
      <c r="I1230" s="429"/>
      <c r="J1230" s="429"/>
      <c r="K1230" s="429"/>
      <c r="L1230" s="429"/>
      <c r="M1230" s="429"/>
    </row>
    <row r="1231" spans="2:13" ht="15">
      <c r="B1231" s="645"/>
      <c r="C1231" s="429"/>
      <c r="D1231" s="429"/>
      <c r="E1231" s="429"/>
      <c r="F1231" s="429"/>
      <c r="G1231" s="429"/>
      <c r="H1231" s="429"/>
      <c r="I1231" s="429"/>
      <c r="J1231" s="429"/>
      <c r="K1231" s="429"/>
      <c r="L1231" s="429"/>
      <c r="M1231" s="429"/>
    </row>
    <row r="1232" spans="2:13" ht="15">
      <c r="B1232" s="645"/>
      <c r="C1232" s="429"/>
      <c r="D1232" s="429"/>
      <c r="E1232" s="429"/>
      <c r="F1232" s="429"/>
      <c r="G1232" s="429"/>
      <c r="H1232" s="429"/>
      <c r="I1232" s="429"/>
      <c r="J1232" s="429"/>
      <c r="K1232" s="429"/>
      <c r="L1232" s="429"/>
      <c r="M1232" s="429"/>
    </row>
    <row r="1233" spans="2:13" ht="15">
      <c r="B1233" s="645"/>
      <c r="C1233" s="429"/>
      <c r="D1233" s="429"/>
      <c r="E1233" s="429"/>
      <c r="F1233" s="429"/>
      <c r="G1233" s="429"/>
      <c r="H1233" s="429"/>
      <c r="I1233" s="429"/>
      <c r="J1233" s="429"/>
      <c r="K1233" s="429"/>
      <c r="L1233" s="429"/>
      <c r="M1233" s="429"/>
    </row>
    <row r="1234" spans="2:13" ht="15">
      <c r="B1234" s="645"/>
      <c r="C1234" s="429"/>
      <c r="D1234" s="429"/>
      <c r="E1234" s="429"/>
      <c r="F1234" s="429"/>
      <c r="G1234" s="429"/>
      <c r="H1234" s="429"/>
      <c r="I1234" s="429"/>
      <c r="J1234" s="429"/>
      <c r="K1234" s="429"/>
      <c r="L1234" s="429"/>
      <c r="M1234" s="429"/>
    </row>
    <row r="1235" spans="2:13" ht="15">
      <c r="B1235" s="645"/>
      <c r="C1235" s="429"/>
      <c r="D1235" s="429"/>
      <c r="E1235" s="429"/>
      <c r="F1235" s="429"/>
      <c r="G1235" s="429"/>
      <c r="H1235" s="429"/>
      <c r="I1235" s="429"/>
      <c r="J1235" s="429"/>
      <c r="K1235" s="429"/>
      <c r="L1235" s="429"/>
      <c r="M1235" s="429"/>
    </row>
    <row r="1236" spans="2:13" ht="15">
      <c r="B1236" s="645"/>
      <c r="C1236" s="429"/>
      <c r="D1236" s="429"/>
      <c r="E1236" s="429"/>
      <c r="F1236" s="429"/>
      <c r="G1236" s="429"/>
      <c r="H1236" s="429"/>
      <c r="I1236" s="429"/>
      <c r="J1236" s="429"/>
      <c r="K1236" s="429"/>
      <c r="L1236" s="429"/>
      <c r="M1236" s="429"/>
    </row>
    <row r="1237" spans="2:13" ht="15">
      <c r="B1237" s="645"/>
      <c r="C1237" s="429"/>
      <c r="D1237" s="429"/>
      <c r="E1237" s="429"/>
      <c r="F1237" s="429"/>
      <c r="G1237" s="429"/>
      <c r="H1237" s="429"/>
      <c r="I1237" s="429"/>
      <c r="J1237" s="429"/>
      <c r="K1237" s="429"/>
      <c r="L1237" s="429"/>
      <c r="M1237" s="429"/>
    </row>
    <row r="1238" spans="2:13" ht="15">
      <c r="B1238" s="645"/>
      <c r="C1238" s="429"/>
      <c r="D1238" s="429"/>
      <c r="E1238" s="429"/>
      <c r="F1238" s="429"/>
      <c r="G1238" s="429"/>
      <c r="H1238" s="429"/>
      <c r="I1238" s="429"/>
      <c r="J1238" s="429"/>
      <c r="K1238" s="429"/>
      <c r="L1238" s="429"/>
      <c r="M1238" s="429"/>
    </row>
    <row r="1239" spans="2:13" ht="15">
      <c r="B1239" s="645"/>
      <c r="C1239" s="429"/>
      <c r="D1239" s="429"/>
      <c r="E1239" s="429"/>
      <c r="F1239" s="429"/>
      <c r="G1239" s="429"/>
      <c r="H1239" s="429"/>
      <c r="I1239" s="429"/>
      <c r="J1239" s="429"/>
      <c r="K1239" s="429"/>
      <c r="L1239" s="429"/>
      <c r="M1239" s="429"/>
    </row>
    <row r="1240" spans="2:13" ht="15">
      <c r="B1240" s="645"/>
      <c r="C1240" s="429"/>
      <c r="D1240" s="429"/>
      <c r="E1240" s="429"/>
      <c r="F1240" s="429"/>
      <c r="G1240" s="429"/>
      <c r="H1240" s="429"/>
      <c r="I1240" s="429"/>
      <c r="J1240" s="429"/>
      <c r="K1240" s="429"/>
      <c r="L1240" s="429"/>
      <c r="M1240" s="429"/>
    </row>
    <row r="1241" spans="2:13" ht="15">
      <c r="B1241" s="645"/>
      <c r="C1241" s="429"/>
      <c r="D1241" s="429"/>
      <c r="E1241" s="429"/>
      <c r="F1241" s="429"/>
      <c r="G1241" s="429"/>
      <c r="H1241" s="429"/>
      <c r="I1241" s="429"/>
      <c r="J1241" s="429"/>
      <c r="K1241" s="429"/>
      <c r="L1241" s="429"/>
      <c r="M1241" s="429"/>
    </row>
    <row r="1242" spans="2:13" ht="15">
      <c r="B1242" s="645"/>
      <c r="C1242" s="429"/>
      <c r="D1242" s="429"/>
      <c r="E1242" s="429"/>
      <c r="F1242" s="429"/>
      <c r="G1242" s="429"/>
      <c r="H1242" s="429"/>
      <c r="I1242" s="429"/>
      <c r="J1242" s="429"/>
      <c r="K1242" s="429"/>
      <c r="L1242" s="429"/>
      <c r="M1242" s="429"/>
    </row>
    <row r="1243" spans="2:13" ht="15">
      <c r="B1243" s="645"/>
      <c r="C1243" s="429"/>
      <c r="D1243" s="429"/>
      <c r="E1243" s="429"/>
      <c r="F1243" s="429"/>
      <c r="G1243" s="429"/>
      <c r="H1243" s="429"/>
      <c r="I1243" s="429"/>
      <c r="J1243" s="429"/>
      <c r="K1243" s="429"/>
      <c r="L1243" s="429"/>
      <c r="M1243" s="429"/>
    </row>
    <row r="1244" spans="2:13" ht="15">
      <c r="B1244" s="645"/>
      <c r="C1244" s="429"/>
      <c r="D1244" s="429"/>
      <c r="E1244" s="429"/>
      <c r="F1244" s="429"/>
      <c r="G1244" s="429"/>
      <c r="H1244" s="429"/>
      <c r="I1244" s="429"/>
      <c r="J1244" s="429"/>
      <c r="K1244" s="429"/>
      <c r="L1244" s="429"/>
      <c r="M1244" s="429"/>
    </row>
    <row r="1245" spans="2:13" ht="15">
      <c r="B1245" s="645"/>
      <c r="C1245" s="429"/>
      <c r="D1245" s="429"/>
      <c r="E1245" s="429"/>
      <c r="F1245" s="429"/>
      <c r="G1245" s="429"/>
      <c r="H1245" s="429"/>
      <c r="I1245" s="429"/>
      <c r="J1245" s="429"/>
      <c r="K1245" s="429"/>
      <c r="L1245" s="429"/>
      <c r="M1245" s="429"/>
    </row>
    <row r="1246" spans="2:13" ht="15">
      <c r="B1246" s="645"/>
      <c r="C1246" s="429"/>
      <c r="D1246" s="429"/>
      <c r="E1246" s="429"/>
      <c r="F1246" s="429"/>
      <c r="G1246" s="429"/>
      <c r="H1246" s="429"/>
      <c r="I1246" s="429"/>
      <c r="J1246" s="429"/>
      <c r="K1246" s="429"/>
      <c r="L1246" s="429"/>
      <c r="M1246" s="429"/>
    </row>
    <row r="1247" spans="2:13" ht="15">
      <c r="B1247" s="645"/>
      <c r="C1247" s="429"/>
      <c r="D1247" s="429"/>
      <c r="E1247" s="429"/>
      <c r="F1247" s="429"/>
      <c r="G1247" s="429"/>
      <c r="H1247" s="429"/>
      <c r="I1247" s="429"/>
      <c r="J1247" s="429"/>
      <c r="K1247" s="429"/>
      <c r="L1247" s="429"/>
      <c r="M1247" s="429"/>
    </row>
    <row r="1248" spans="2:13" ht="15">
      <c r="B1248" s="645"/>
      <c r="C1248" s="429"/>
      <c r="D1248" s="429"/>
      <c r="E1248" s="429"/>
      <c r="F1248" s="429"/>
      <c r="G1248" s="429"/>
      <c r="H1248" s="429"/>
      <c r="I1248" s="429"/>
      <c r="J1248" s="429"/>
      <c r="K1248" s="429"/>
      <c r="L1248" s="429"/>
      <c r="M1248" s="429"/>
    </row>
    <row r="1249" spans="2:13" ht="15">
      <c r="B1249" s="645"/>
      <c r="C1249" s="429"/>
      <c r="D1249" s="429"/>
      <c r="E1249" s="429"/>
      <c r="F1249" s="429"/>
      <c r="G1249" s="429"/>
      <c r="H1249" s="429"/>
      <c r="I1249" s="429"/>
      <c r="J1249" s="429"/>
      <c r="K1249" s="429"/>
      <c r="L1249" s="429"/>
      <c r="M1249" s="429"/>
    </row>
    <row r="1250" spans="2:13" ht="15">
      <c r="B1250" s="645"/>
      <c r="C1250" s="429"/>
      <c r="D1250" s="429"/>
      <c r="E1250" s="429"/>
      <c r="F1250" s="429"/>
      <c r="G1250" s="429"/>
      <c r="H1250" s="429"/>
      <c r="I1250" s="429"/>
      <c r="J1250" s="429"/>
      <c r="K1250" s="429"/>
      <c r="L1250" s="429"/>
      <c r="M1250" s="429"/>
    </row>
    <row r="1251" spans="2:13" ht="15">
      <c r="B1251" s="645"/>
      <c r="C1251" s="429"/>
      <c r="D1251" s="429"/>
      <c r="E1251" s="429"/>
      <c r="F1251" s="429"/>
      <c r="G1251" s="429"/>
      <c r="H1251" s="429"/>
      <c r="I1251" s="429"/>
      <c r="J1251" s="429"/>
      <c r="K1251" s="429"/>
      <c r="L1251" s="429"/>
      <c r="M1251" s="429"/>
    </row>
    <row r="1252" spans="2:13" ht="15">
      <c r="B1252" s="645"/>
      <c r="C1252" s="429"/>
      <c r="D1252" s="429"/>
      <c r="E1252" s="429"/>
      <c r="F1252" s="429"/>
      <c r="G1252" s="429"/>
      <c r="H1252" s="429"/>
      <c r="I1252" s="429"/>
      <c r="J1252" s="429"/>
      <c r="K1252" s="429"/>
      <c r="L1252" s="429"/>
      <c r="M1252" s="429"/>
    </row>
    <row r="1253" spans="2:13" ht="15">
      <c r="B1253" s="645"/>
      <c r="C1253" s="429"/>
      <c r="D1253" s="429"/>
      <c r="E1253" s="429"/>
      <c r="F1253" s="429"/>
      <c r="G1253" s="429"/>
      <c r="H1253" s="429"/>
      <c r="I1253" s="429"/>
      <c r="J1253" s="429"/>
      <c r="K1253" s="429"/>
      <c r="L1253" s="429"/>
      <c r="M1253" s="429"/>
    </row>
    <row r="1254" spans="2:13" ht="15">
      <c r="B1254" s="645"/>
      <c r="C1254" s="429"/>
      <c r="D1254" s="429"/>
      <c r="E1254" s="429"/>
      <c r="F1254" s="429"/>
      <c r="G1254" s="429"/>
      <c r="H1254" s="429"/>
      <c r="I1254" s="429"/>
      <c r="J1254" s="429"/>
      <c r="K1254" s="429"/>
      <c r="L1254" s="429"/>
      <c r="M1254" s="429"/>
    </row>
    <row r="1255" spans="2:13" ht="15">
      <c r="B1255" s="645"/>
      <c r="C1255" s="429"/>
      <c r="D1255" s="429"/>
      <c r="E1255" s="429"/>
      <c r="F1255" s="429"/>
      <c r="G1255" s="429"/>
      <c r="H1255" s="429"/>
      <c r="I1255" s="429"/>
      <c r="J1255" s="429"/>
      <c r="K1255" s="429"/>
      <c r="L1255" s="429"/>
      <c r="M1255" s="429"/>
    </row>
    <row r="1256" spans="2:13" ht="15">
      <c r="B1256" s="645"/>
      <c r="C1256" s="429"/>
      <c r="D1256" s="429"/>
      <c r="E1256" s="429"/>
      <c r="F1256" s="429"/>
      <c r="G1256" s="429"/>
      <c r="H1256" s="429"/>
      <c r="I1256" s="429"/>
      <c r="J1256" s="429"/>
      <c r="K1256" s="429"/>
      <c r="L1256" s="429"/>
      <c r="M1256" s="429"/>
    </row>
    <row r="1257" spans="2:13" ht="15">
      <c r="B1257" s="645"/>
      <c r="C1257" s="429"/>
      <c r="D1257" s="429"/>
      <c r="E1257" s="429"/>
      <c r="F1257" s="429"/>
      <c r="G1257" s="429"/>
      <c r="H1257" s="429"/>
      <c r="I1257" s="429"/>
      <c r="J1257" s="429"/>
      <c r="K1257" s="429"/>
      <c r="L1257" s="429"/>
      <c r="M1257" s="429"/>
    </row>
    <row r="1258" spans="2:13" ht="15">
      <c r="B1258" s="645"/>
      <c r="C1258" s="429"/>
      <c r="D1258" s="429"/>
      <c r="E1258" s="429"/>
      <c r="F1258" s="429"/>
      <c r="G1258" s="429"/>
      <c r="H1258" s="429"/>
      <c r="I1258" s="429"/>
      <c r="J1258" s="429"/>
      <c r="K1258" s="429"/>
      <c r="L1258" s="429"/>
      <c r="M1258" s="429"/>
    </row>
    <row r="1259" spans="2:13" ht="15">
      <c r="B1259" s="645"/>
      <c r="C1259" s="429"/>
      <c r="D1259" s="429"/>
      <c r="E1259" s="429"/>
      <c r="F1259" s="429"/>
      <c r="G1259" s="429"/>
      <c r="H1259" s="429"/>
      <c r="I1259" s="429"/>
      <c r="J1259" s="429"/>
      <c r="K1259" s="429"/>
      <c r="L1259" s="429"/>
      <c r="M1259" s="429"/>
    </row>
    <row r="1260" spans="9:10" ht="15">
      <c r="I1260" s="429"/>
      <c r="J1260" s="429"/>
    </row>
  </sheetData>
  <sheetProtection/>
  <mergeCells count="26">
    <mergeCell ref="D382:J383"/>
    <mergeCell ref="D291:K292"/>
    <mergeCell ref="D328:K329"/>
    <mergeCell ref="D318:J319"/>
    <mergeCell ref="D336:L338"/>
    <mergeCell ref="D324:J326"/>
    <mergeCell ref="D311:K313"/>
    <mergeCell ref="D371:L372"/>
    <mergeCell ref="D373:L374"/>
    <mergeCell ref="D375:L375"/>
    <mergeCell ref="G263:H263"/>
    <mergeCell ref="E187:E188"/>
    <mergeCell ref="B22:I23"/>
    <mergeCell ref="I58:J58"/>
    <mergeCell ref="I61:J61"/>
    <mergeCell ref="I142:J142"/>
    <mergeCell ref="I145:J145"/>
    <mergeCell ref="D40:L40"/>
    <mergeCell ref="D376:L378"/>
    <mergeCell ref="D288:L288"/>
    <mergeCell ref="D300:L300"/>
    <mergeCell ref="D296:L297"/>
    <mergeCell ref="D331:L334"/>
    <mergeCell ref="D360:L365"/>
    <mergeCell ref="D368:L370"/>
    <mergeCell ref="D315:K317"/>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13"/>
  <sheetViews>
    <sheetView view="pageBreakPreview" zoomScale="60" zoomScaleNormal="70" zoomScalePageLayoutView="0" workbookViewId="0" topLeftCell="A61">
      <selection activeCell="F62" sqref="F62"/>
    </sheetView>
  </sheetViews>
  <sheetFormatPr defaultColWidth="9.140625" defaultRowHeight="12.75"/>
  <cols>
    <col min="1" max="1" width="7.28125" style="149" customWidth="1"/>
    <col min="2" max="2" width="1.7109375" style="150" customWidth="1"/>
    <col min="3" max="3" width="62.421875" style="150" customWidth="1"/>
    <col min="4" max="4" width="19.140625" style="150" customWidth="1"/>
    <col min="5" max="5" width="20.421875" style="144" customWidth="1"/>
    <col min="6" max="6" width="20.421875" style="135" bestFit="1" customWidth="1"/>
    <col min="7" max="7" width="40.28125" style="135" bestFit="1" customWidth="1"/>
    <col min="8" max="16384" width="9.140625" style="135" customWidth="1"/>
  </cols>
  <sheetData>
    <row r="1" spans="1:6" ht="18.75" customHeight="1">
      <c r="A1" s="1203" t="s">
        <v>491</v>
      </c>
      <c r="B1" s="1203"/>
      <c r="C1" s="1203"/>
      <c r="D1" s="1203"/>
      <c r="E1" s="1203"/>
      <c r="F1" s="1203"/>
    </row>
    <row r="2" spans="1:6" ht="18.75" customHeight="1">
      <c r="A2" s="1202" t="str">
        <f>"Cost of Service Formula Rate Using Actual/Projected FF1 Balances"</f>
        <v>Cost of Service Formula Rate Using Actual/Projected FF1 Balances</v>
      </c>
      <c r="B2" s="1202"/>
      <c r="C2" s="1202"/>
      <c r="D2" s="1202"/>
      <c r="E2" s="1202"/>
      <c r="F2" s="1202"/>
    </row>
    <row r="3" spans="1:6" ht="18.75" customHeight="1">
      <c r="A3" s="1202" t="s">
        <v>283</v>
      </c>
      <c r="B3" s="1202"/>
      <c r="C3" s="1202"/>
      <c r="D3" s="1202"/>
      <c r="E3" s="1202"/>
      <c r="F3" s="1202"/>
    </row>
    <row r="4" spans="1:6" ht="18" customHeight="1">
      <c r="A4" s="1225" t="str">
        <f>'KP TCOS'!F7</f>
        <v>KENTUCKY POWER COMPANY</v>
      </c>
      <c r="B4" s="1202"/>
      <c r="C4" s="1202"/>
      <c r="D4" s="1202"/>
      <c r="E4" s="1202"/>
      <c r="F4" s="1202"/>
    </row>
    <row r="5" spans="1:6" ht="18" customHeight="1">
      <c r="A5" s="1206"/>
      <c r="B5" s="1206"/>
      <c r="C5" s="1206"/>
      <c r="D5" s="1206"/>
      <c r="E5" s="1206"/>
      <c r="F5" s="1206"/>
    </row>
    <row r="6" spans="1:7" ht="19.5" customHeight="1">
      <c r="A6" s="137"/>
      <c r="B6" s="138"/>
      <c r="C6" s="38" t="s">
        <v>194</v>
      </c>
      <c r="E6" s="38" t="s">
        <v>195</v>
      </c>
      <c r="F6" s="337" t="s">
        <v>196</v>
      </c>
      <c r="G6" s="337" t="s">
        <v>197</v>
      </c>
    </row>
    <row r="7" spans="1:20" ht="18">
      <c r="A7" s="240"/>
      <c r="B7" s="241"/>
      <c r="C7" s="241"/>
      <c r="D7" s="241"/>
      <c r="E7"/>
      <c r="F7" s="17"/>
      <c r="G7" s="338"/>
      <c r="H7" s="41"/>
      <c r="I7" s="41"/>
      <c r="J7" s="41"/>
      <c r="K7" s="41"/>
      <c r="L7" s="41"/>
      <c r="M7" s="41"/>
      <c r="N7" s="41"/>
      <c r="O7" s="41"/>
      <c r="P7" s="41"/>
      <c r="Q7" s="41"/>
      <c r="R7" s="41"/>
      <c r="S7" s="41"/>
      <c r="T7" s="41"/>
    </row>
    <row r="8" spans="1:7" ht="18">
      <c r="A8" s="240" t="s">
        <v>201</v>
      </c>
      <c r="B8" s="241"/>
      <c r="C8" s="241"/>
      <c r="D8" s="241"/>
      <c r="E8" s="242" t="s">
        <v>150</v>
      </c>
      <c r="F8" s="339" t="s">
        <v>107</v>
      </c>
      <c r="G8" s="340"/>
    </row>
    <row r="9" spans="1:7" ht="18">
      <c r="A9" s="244" t="s">
        <v>149</v>
      </c>
      <c r="B9" s="341"/>
      <c r="C9" s="244" t="s">
        <v>49</v>
      </c>
      <c r="D9" s="341"/>
      <c r="E9" s="245" t="s">
        <v>230</v>
      </c>
      <c r="F9" s="244" t="s">
        <v>108</v>
      </c>
      <c r="G9" s="245" t="s">
        <v>109</v>
      </c>
    </row>
    <row r="10" spans="1:7" ht="18">
      <c r="A10" s="139"/>
      <c r="B10" s="138"/>
      <c r="C10" s="134"/>
      <c r="D10" s="134"/>
      <c r="E10" s="134"/>
      <c r="F10" s="339"/>
      <c r="G10" s="342"/>
    </row>
    <row r="11" spans="1:6" ht="18">
      <c r="A11" s="137"/>
      <c r="B11" s="138"/>
      <c r="C11" s="138"/>
      <c r="D11" s="138"/>
      <c r="E11" s="140"/>
      <c r="F11" s="134"/>
    </row>
    <row r="12" spans="1:6" ht="19.5">
      <c r="A12" s="137">
        <v>1</v>
      </c>
      <c r="B12" s="138"/>
      <c r="C12" s="141" t="s">
        <v>400</v>
      </c>
      <c r="D12" s="138"/>
      <c r="E12" s="148"/>
      <c r="F12" s="136"/>
    </row>
    <row r="13" spans="1:8" ht="19.5">
      <c r="A13" s="137">
        <f>+A12+1</f>
        <v>2</v>
      </c>
      <c r="B13" s="138"/>
      <c r="C13" s="133" t="s">
        <v>384</v>
      </c>
      <c r="D13" s="138"/>
      <c r="E13" s="351">
        <f>SUM(F14:F17)</f>
        <v>24000</v>
      </c>
      <c r="F13" s="148"/>
      <c r="G13" s="343"/>
      <c r="H13" s="343"/>
    </row>
    <row r="14" spans="1:8" ht="19.5">
      <c r="A14" s="137"/>
      <c r="B14" s="138"/>
      <c r="C14" s="143"/>
      <c r="D14" s="138"/>
      <c r="E14" s="350"/>
      <c r="F14" s="1089">
        <v>24000</v>
      </c>
      <c r="G14" s="1090" t="s">
        <v>803</v>
      </c>
      <c r="H14" s="343"/>
    </row>
    <row r="15" spans="1:8" ht="19.5">
      <c r="A15" s="137"/>
      <c r="B15" s="138"/>
      <c r="C15" s="143"/>
      <c r="D15" s="138"/>
      <c r="E15" s="350"/>
      <c r="F15" s="1089">
        <v>0</v>
      </c>
      <c r="G15" s="1090" t="s">
        <v>804</v>
      </c>
      <c r="H15" s="343"/>
    </row>
    <row r="16" spans="1:8" ht="19.5">
      <c r="A16" s="137"/>
      <c r="B16" s="138"/>
      <c r="C16" s="143"/>
      <c r="D16" s="138"/>
      <c r="E16" s="350"/>
      <c r="F16" s="1089">
        <v>0</v>
      </c>
      <c r="G16" s="1090" t="s">
        <v>805</v>
      </c>
      <c r="H16" s="343"/>
    </row>
    <row r="17" spans="1:8" ht="19.5">
      <c r="A17" s="137"/>
      <c r="B17" s="138"/>
      <c r="C17" s="143"/>
      <c r="D17" s="138"/>
      <c r="E17" s="350"/>
      <c r="F17" s="1089">
        <v>0</v>
      </c>
      <c r="G17" s="1090" t="s">
        <v>806</v>
      </c>
      <c r="H17" s="343"/>
    </row>
    <row r="18" spans="1:8" ht="19.5">
      <c r="A18" s="137"/>
      <c r="B18" s="138"/>
      <c r="C18" s="143"/>
      <c r="D18" s="138"/>
      <c r="E18" s="350"/>
      <c r="F18" s="345"/>
      <c r="G18" s="344"/>
      <c r="H18" s="343"/>
    </row>
    <row r="19" spans="1:8" ht="19.5">
      <c r="A19" s="137">
        <f>+A13+1</f>
        <v>3</v>
      </c>
      <c r="B19" s="138"/>
      <c r="C19" s="141" t="s">
        <v>401</v>
      </c>
      <c r="D19" s="138"/>
      <c r="E19" s="350"/>
      <c r="F19" s="345"/>
      <c r="G19" s="344"/>
      <c r="H19" s="343"/>
    </row>
    <row r="20" spans="1:8" ht="19.5">
      <c r="A20" s="137">
        <f>+A19+1</f>
        <v>4</v>
      </c>
      <c r="B20" s="138"/>
      <c r="C20" s="136" t="s">
        <v>813</v>
      </c>
      <c r="D20" s="136"/>
      <c r="E20" s="351">
        <f>SUM(F21:F28)</f>
        <v>12849463</v>
      </c>
      <c r="F20" s="345"/>
      <c r="G20" s="344"/>
      <c r="H20" s="343"/>
    </row>
    <row r="21" spans="1:8" ht="19.5">
      <c r="A21" s="137"/>
      <c r="B21" s="138"/>
      <c r="C21" s="136"/>
      <c r="D21" s="136"/>
      <c r="E21" s="351"/>
      <c r="F21" s="1089">
        <v>12849463</v>
      </c>
      <c r="G21" s="1090" t="s">
        <v>807</v>
      </c>
      <c r="H21" s="343"/>
    </row>
    <row r="22" spans="1:8" ht="19.5">
      <c r="A22" s="137"/>
      <c r="B22" s="138"/>
      <c r="C22" s="136"/>
      <c r="D22" s="136"/>
      <c r="E22" s="351"/>
      <c r="F22" s="1089">
        <v>0</v>
      </c>
      <c r="G22" s="1090" t="s">
        <v>808</v>
      </c>
      <c r="H22" s="343"/>
    </row>
    <row r="23" spans="1:8" ht="19.5">
      <c r="A23" s="137"/>
      <c r="B23" s="138"/>
      <c r="C23" s="136"/>
      <c r="D23" s="136"/>
      <c r="E23" s="351"/>
      <c r="F23" s="1089">
        <v>0</v>
      </c>
      <c r="G23" s="1090" t="s">
        <v>809</v>
      </c>
      <c r="H23" s="343"/>
    </row>
    <row r="24" spans="1:8" ht="19.5">
      <c r="A24" s="137"/>
      <c r="B24" s="138"/>
      <c r="C24" s="136"/>
      <c r="D24" s="136"/>
      <c r="E24" s="351"/>
      <c r="F24" s="1089">
        <v>0</v>
      </c>
      <c r="G24" s="1090" t="s">
        <v>777</v>
      </c>
      <c r="H24" s="343"/>
    </row>
    <row r="25" spans="1:8" ht="19.5">
      <c r="A25" s="137"/>
      <c r="B25" s="138"/>
      <c r="C25" s="136"/>
      <c r="D25" s="136"/>
      <c r="E25" s="351"/>
      <c r="F25" s="1089">
        <v>0</v>
      </c>
      <c r="G25" s="1090" t="s">
        <v>810</v>
      </c>
      <c r="H25" s="343"/>
    </row>
    <row r="26" spans="1:8" ht="19.5">
      <c r="A26" s="137"/>
      <c r="B26" s="138"/>
      <c r="C26" s="136"/>
      <c r="D26" s="136"/>
      <c r="E26" s="351"/>
      <c r="F26" s="1089">
        <v>0</v>
      </c>
      <c r="G26" s="1090" t="s">
        <v>811</v>
      </c>
      <c r="H26" s="343"/>
    </row>
    <row r="27" spans="1:8" ht="19.5">
      <c r="A27" s="137"/>
      <c r="B27" s="138"/>
      <c r="C27" s="136"/>
      <c r="D27" s="136"/>
      <c r="E27" s="351"/>
      <c r="F27" s="1089">
        <v>0</v>
      </c>
      <c r="G27" s="1090" t="s">
        <v>812</v>
      </c>
      <c r="H27" s="343"/>
    </row>
    <row r="28" spans="1:8" ht="19.5">
      <c r="A28" s="137"/>
      <c r="B28" s="138"/>
      <c r="C28" s="136"/>
      <c r="D28" s="136"/>
      <c r="E28" s="351"/>
      <c r="F28" s="1089">
        <v>0</v>
      </c>
      <c r="G28" s="1090" t="s">
        <v>779</v>
      </c>
      <c r="H28" s="343"/>
    </row>
    <row r="29" spans="1:8" ht="19.5">
      <c r="A29" s="137"/>
      <c r="B29" s="138"/>
      <c r="C29" s="136"/>
      <c r="D29" s="136"/>
      <c r="E29" s="351"/>
      <c r="F29" s="403"/>
      <c r="G29" s="404"/>
      <c r="H29" s="343"/>
    </row>
    <row r="30" spans="1:8" ht="19.5">
      <c r="A30" s="137">
        <f>+A20+1</f>
        <v>5</v>
      </c>
      <c r="B30" s="138"/>
      <c r="C30" s="136" t="s">
        <v>814</v>
      </c>
      <c r="D30" s="136"/>
      <c r="E30" s="351">
        <f>SUM(F31:F35)</f>
        <v>2647424</v>
      </c>
      <c r="F30" s="192"/>
      <c r="G30" s="344"/>
      <c r="H30" s="343"/>
    </row>
    <row r="31" spans="1:8" ht="19.5">
      <c r="A31" s="137"/>
      <c r="B31" s="138"/>
      <c r="C31" s="136"/>
      <c r="D31" s="136"/>
      <c r="E31" s="351"/>
      <c r="F31" s="1089">
        <f>15496887-F21</f>
        <v>2647424</v>
      </c>
      <c r="G31" s="1090" t="s">
        <v>815</v>
      </c>
      <c r="H31" s="343"/>
    </row>
    <row r="32" spans="1:8" ht="19.5">
      <c r="A32" s="137"/>
      <c r="B32" s="138"/>
      <c r="C32" s="136"/>
      <c r="D32" s="136"/>
      <c r="E32" s="351"/>
      <c r="F32" s="1089">
        <v>0</v>
      </c>
      <c r="G32" s="1090" t="s">
        <v>816</v>
      </c>
      <c r="H32" s="343"/>
    </row>
    <row r="33" spans="1:8" ht="19.5">
      <c r="A33" s="137"/>
      <c r="B33" s="138"/>
      <c r="C33" s="136"/>
      <c r="D33" s="136"/>
      <c r="E33" s="351"/>
      <c r="F33" s="1089">
        <v>0</v>
      </c>
      <c r="G33" s="1090" t="s">
        <v>817</v>
      </c>
      <c r="H33" s="343"/>
    </row>
    <row r="34" spans="1:8" ht="19.5">
      <c r="A34" s="137"/>
      <c r="B34" s="138"/>
      <c r="C34" s="136"/>
      <c r="D34" s="136"/>
      <c r="E34" s="351"/>
      <c r="F34" s="1089">
        <v>0</v>
      </c>
      <c r="G34" s="1090" t="s">
        <v>818</v>
      </c>
      <c r="H34" s="343"/>
    </row>
    <row r="35" spans="1:8" ht="19.5">
      <c r="A35" s="137"/>
      <c r="B35" s="138"/>
      <c r="C35" s="136"/>
      <c r="D35" s="136"/>
      <c r="E35" s="351"/>
      <c r="F35" s="1089"/>
      <c r="G35" s="1090"/>
      <c r="H35" s="343"/>
    </row>
    <row r="36" spans="1:8" ht="19.5">
      <c r="A36" s="137"/>
      <c r="B36" s="138"/>
      <c r="C36" s="136"/>
      <c r="D36" s="136"/>
      <c r="E36" s="351"/>
      <c r="F36" s="7"/>
      <c r="G36" s="404"/>
      <c r="H36" s="343"/>
    </row>
    <row r="37" spans="1:8" ht="19.5">
      <c r="A37" s="137">
        <f>+A30+1</f>
        <v>6</v>
      </c>
      <c r="B37" s="138"/>
      <c r="C37" s="136" t="s">
        <v>819</v>
      </c>
      <c r="D37" s="276"/>
      <c r="E37" s="351">
        <f>SUM(F38:F40)</f>
        <v>0</v>
      </c>
      <c r="F37" s="148" t="s">
        <v>146</v>
      </c>
      <c r="G37" s="404" t="s">
        <v>146</v>
      </c>
      <c r="H37" s="343"/>
    </row>
    <row r="38" spans="1:8" ht="19.5">
      <c r="A38" s="137"/>
      <c r="B38" s="138"/>
      <c r="C38" s="136"/>
      <c r="D38" s="276"/>
      <c r="E38" s="351"/>
      <c r="F38" s="1089">
        <v>0</v>
      </c>
      <c r="G38" s="1090" t="s">
        <v>820</v>
      </c>
      <c r="H38" s="343"/>
    </row>
    <row r="39" spans="1:8" ht="19.5">
      <c r="A39" s="137"/>
      <c r="B39" s="138"/>
      <c r="C39" s="136"/>
      <c r="D39" s="276"/>
      <c r="E39" s="351"/>
      <c r="F39" s="1089">
        <v>0</v>
      </c>
      <c r="G39" s="1090" t="s">
        <v>146</v>
      </c>
      <c r="H39" s="343"/>
    </row>
    <row r="40" spans="1:8" ht="19.5">
      <c r="A40" s="137"/>
      <c r="B40" s="138"/>
      <c r="C40" s="136"/>
      <c r="D40" s="276"/>
      <c r="E40" s="351"/>
      <c r="F40" s="1089">
        <v>0</v>
      </c>
      <c r="G40" s="1090" t="s">
        <v>146</v>
      </c>
      <c r="H40" s="343"/>
    </row>
    <row r="41" spans="1:8" ht="19.5">
      <c r="A41" s="137"/>
      <c r="B41" s="138"/>
      <c r="C41" s="136"/>
      <c r="D41" s="276"/>
      <c r="E41" s="351"/>
      <c r="F41" s="345"/>
      <c r="G41" s="1091"/>
      <c r="H41" s="343"/>
    </row>
    <row r="42" spans="1:8" ht="19.5">
      <c r="A42" s="137"/>
      <c r="B42" s="138"/>
      <c r="C42" s="136"/>
      <c r="D42" s="276"/>
      <c r="E42" s="351"/>
      <c r="F42" s="345"/>
      <c r="G42" s="1091"/>
      <c r="H42" s="343"/>
    </row>
    <row r="43" spans="1:8" ht="19.5">
      <c r="A43" s="137">
        <f>+A37+1</f>
        <v>7</v>
      </c>
      <c r="B43" s="138"/>
      <c r="C43" s="141" t="s">
        <v>402</v>
      </c>
      <c r="D43" s="138"/>
      <c r="E43" s="350"/>
      <c r="F43" s="346" t="s">
        <v>146</v>
      </c>
      <c r="G43" s="1091"/>
      <c r="H43" s="343"/>
    </row>
    <row r="44" spans="1:8" ht="19.5">
      <c r="A44" s="137">
        <f>+A43+1</f>
        <v>8</v>
      </c>
      <c r="B44" s="138"/>
      <c r="C44" s="136" t="s">
        <v>398</v>
      </c>
      <c r="D44" s="138"/>
      <c r="E44" s="351">
        <f>SUM(F45)</f>
        <v>2597038</v>
      </c>
      <c r="F44" s="347"/>
      <c r="G44" s="344"/>
      <c r="H44" s="343"/>
    </row>
    <row r="45" spans="1:8" ht="19.5">
      <c r="A45" s="137"/>
      <c r="B45" s="138"/>
      <c r="C45" s="136"/>
      <c r="D45" s="138"/>
      <c r="E45" s="351"/>
      <c r="F45" s="1089">
        <f>4091168+-1494130</f>
        <v>2597038</v>
      </c>
      <c r="G45" s="1090" t="s">
        <v>821</v>
      </c>
      <c r="H45" s="343"/>
    </row>
    <row r="46" spans="1:8" ht="19.5">
      <c r="A46" s="137">
        <f>+A44+1</f>
        <v>9</v>
      </c>
      <c r="B46" s="138"/>
      <c r="C46" s="136" t="s">
        <v>391</v>
      </c>
      <c r="D46" s="138"/>
      <c r="E46" s="351">
        <f>SUM(F47)</f>
        <v>14509</v>
      </c>
      <c r="F46" s="148"/>
      <c r="H46" s="343"/>
    </row>
    <row r="47" spans="1:8" ht="19.5">
      <c r="A47" s="137"/>
      <c r="B47" s="138"/>
      <c r="C47" s="136"/>
      <c r="D47" s="138"/>
      <c r="E47" s="351"/>
      <c r="F47" s="1089">
        <f>23016+-8507</f>
        <v>14509</v>
      </c>
      <c r="G47" s="1090" t="s">
        <v>822</v>
      </c>
      <c r="H47" s="343"/>
    </row>
    <row r="48" spans="1:8" ht="19.5">
      <c r="A48" s="137">
        <f>+A46+1</f>
        <v>10</v>
      </c>
      <c r="B48" s="138"/>
      <c r="C48" s="136" t="s">
        <v>392</v>
      </c>
      <c r="D48" s="138"/>
      <c r="E48" s="351">
        <f>SUM(F49:F51)</f>
        <v>53142</v>
      </c>
      <c r="F48" s="148"/>
      <c r="G48" s="421"/>
      <c r="H48" s="343"/>
    </row>
    <row r="49" spans="1:8" ht="19.5">
      <c r="A49" s="137"/>
      <c r="B49" s="138"/>
      <c r="C49" s="136"/>
      <c r="D49" s="138"/>
      <c r="E49" s="351"/>
      <c r="F49" s="1089">
        <f>82345-29203</f>
        <v>53142</v>
      </c>
      <c r="G49" s="1090" t="s">
        <v>823</v>
      </c>
      <c r="H49" s="343"/>
    </row>
    <row r="50" spans="1:8" ht="19.5">
      <c r="A50" s="137"/>
      <c r="B50" s="138"/>
      <c r="C50" s="136"/>
      <c r="D50" s="138"/>
      <c r="E50" s="351"/>
      <c r="F50" s="1089">
        <v>0</v>
      </c>
      <c r="G50" s="1090" t="s">
        <v>824</v>
      </c>
      <c r="H50" s="343"/>
    </row>
    <row r="51" spans="1:8" ht="19.5">
      <c r="A51" s="137"/>
      <c r="B51" s="138"/>
      <c r="C51" s="136"/>
      <c r="D51" s="138"/>
      <c r="E51" s="351"/>
      <c r="F51" s="1089">
        <v>0</v>
      </c>
      <c r="G51" s="1090" t="s">
        <v>825</v>
      </c>
      <c r="H51" s="343"/>
    </row>
    <row r="52" spans="1:8" ht="19.5">
      <c r="A52" s="137"/>
      <c r="B52" s="138"/>
      <c r="C52" s="136"/>
      <c r="D52" s="138"/>
      <c r="E52" s="351"/>
      <c r="F52" s="345"/>
      <c r="G52" s="1091"/>
      <c r="H52" s="343"/>
    </row>
    <row r="53" spans="1:8" ht="19.5">
      <c r="A53" s="137">
        <f>A48+1</f>
        <v>11</v>
      </c>
      <c r="B53" s="138"/>
      <c r="C53" s="141" t="s">
        <v>562</v>
      </c>
      <c r="D53" s="138"/>
      <c r="E53" s="351">
        <f>SUM(F54:F54)</f>
        <v>0</v>
      </c>
      <c r="F53" s="345"/>
      <c r="G53" s="1091"/>
      <c r="H53" s="343"/>
    </row>
    <row r="54" spans="1:8" ht="19.5">
      <c r="A54" s="137">
        <f>+A53+1</f>
        <v>12</v>
      </c>
      <c r="B54" s="138"/>
      <c r="C54" s="148" t="s">
        <v>563</v>
      </c>
      <c r="D54" s="276"/>
      <c r="E54" s="351"/>
      <c r="F54" s="1089">
        <v>0</v>
      </c>
      <c r="G54" s="1090" t="s">
        <v>146</v>
      </c>
      <c r="H54" s="343"/>
    </row>
    <row r="55" spans="1:8" ht="19.5">
      <c r="A55" s="137"/>
      <c r="B55" s="138"/>
      <c r="C55" s="133"/>
      <c r="D55" s="138"/>
      <c r="E55" s="355"/>
      <c r="F55" s="345"/>
      <c r="G55" s="133"/>
      <c r="H55" s="343"/>
    </row>
    <row r="56" spans="1:8" ht="19.5">
      <c r="A56" s="145">
        <f>+A54+1</f>
        <v>13</v>
      </c>
      <c r="B56" s="138"/>
      <c r="C56" s="141" t="s">
        <v>399</v>
      </c>
      <c r="D56" s="147"/>
      <c r="E56" s="350"/>
      <c r="F56" s="148"/>
      <c r="G56" s="133"/>
      <c r="H56" s="343"/>
    </row>
    <row r="57" spans="1:8" ht="19.5">
      <c r="A57" s="145">
        <f>A56+1</f>
        <v>14</v>
      </c>
      <c r="B57" s="146"/>
      <c r="C57" s="133" t="s">
        <v>561</v>
      </c>
      <c r="D57" s="147"/>
      <c r="E57" s="351">
        <f>SUM(F58:F59)</f>
        <v>5783000</v>
      </c>
      <c r="F57" s="148"/>
      <c r="G57" s="133"/>
      <c r="H57" s="343"/>
    </row>
    <row r="58" spans="1:8" ht="19.5">
      <c r="A58" s="145"/>
      <c r="B58" s="146"/>
      <c r="C58" s="133"/>
      <c r="D58" s="135"/>
      <c r="E58" s="355"/>
      <c r="F58" s="1089">
        <v>5783000</v>
      </c>
      <c r="G58" s="1090" t="s">
        <v>778</v>
      </c>
      <c r="H58" s="343"/>
    </row>
    <row r="59" spans="1:8" ht="19.5">
      <c r="A59" s="145"/>
      <c r="B59" s="146"/>
      <c r="C59" s="133"/>
      <c r="D59" s="135"/>
      <c r="E59" s="355"/>
      <c r="F59" s="1089">
        <v>0</v>
      </c>
      <c r="G59" s="1090" t="s">
        <v>826</v>
      </c>
      <c r="H59" s="343"/>
    </row>
    <row r="60" spans="1:8" ht="19.5">
      <c r="A60" s="145"/>
      <c r="B60" s="146"/>
      <c r="C60" s="133"/>
      <c r="D60" s="135"/>
      <c r="E60" s="355"/>
      <c r="F60" s="345" t="s">
        <v>146</v>
      </c>
      <c r="G60" s="1091" t="s">
        <v>146</v>
      </c>
      <c r="H60" s="343"/>
    </row>
    <row r="61" spans="1:8" ht="19.5">
      <c r="A61" s="137">
        <f>A57+1</f>
        <v>15</v>
      </c>
      <c r="B61" s="146"/>
      <c r="C61" s="133" t="s">
        <v>393</v>
      </c>
      <c r="D61" s="138"/>
      <c r="E61" s="351">
        <f>SUM(F62:F63)</f>
        <v>1137600</v>
      </c>
      <c r="F61" s="345"/>
      <c r="G61" s="1091"/>
      <c r="H61" s="343"/>
    </row>
    <row r="62" spans="1:8" ht="19.5">
      <c r="A62" s="137"/>
      <c r="B62" s="146"/>
      <c r="C62" s="133"/>
      <c r="D62" s="138"/>
      <c r="E62" s="192"/>
      <c r="F62" s="1089">
        <v>1137600</v>
      </c>
      <c r="G62" s="1090" t="s">
        <v>827</v>
      </c>
      <c r="H62" s="343"/>
    </row>
    <row r="63" spans="1:8" ht="19.5">
      <c r="A63" s="137"/>
      <c r="B63" s="146"/>
      <c r="C63" s="133"/>
      <c r="D63" s="138"/>
      <c r="E63" s="192"/>
      <c r="F63" s="1089">
        <v>0</v>
      </c>
      <c r="G63" s="1090" t="s">
        <v>828</v>
      </c>
      <c r="H63" s="343"/>
    </row>
    <row r="64" spans="1:8" ht="19.5">
      <c r="A64" s="137"/>
      <c r="B64" s="146"/>
      <c r="C64" s="133"/>
      <c r="D64" s="138"/>
      <c r="E64" s="192"/>
      <c r="F64" s="345" t="s">
        <v>146</v>
      </c>
      <c r="G64" s="1091" t="s">
        <v>146</v>
      </c>
      <c r="H64" s="343"/>
    </row>
    <row r="65" spans="1:8" ht="19.5">
      <c r="A65" s="137">
        <f>+A61+1</f>
        <v>16</v>
      </c>
      <c r="B65" s="138"/>
      <c r="C65" s="133" t="s">
        <v>394</v>
      </c>
      <c r="D65"/>
      <c r="E65" s="351">
        <f>SUM(F66:F67)</f>
        <v>0</v>
      </c>
      <c r="F65" s="345"/>
      <c r="G65" s="1091"/>
      <c r="H65" s="343"/>
    </row>
    <row r="66" spans="1:8" ht="19.5">
      <c r="A66" s="137"/>
      <c r="B66" s="138"/>
      <c r="C66" s="133"/>
      <c r="D66"/>
      <c r="E66" s="192"/>
      <c r="F66" s="1089">
        <v>0</v>
      </c>
      <c r="G66" s="1090" t="s">
        <v>829</v>
      </c>
      <c r="H66" s="343"/>
    </row>
    <row r="67" spans="1:8" ht="19.5">
      <c r="A67" s="137"/>
      <c r="B67" s="138"/>
      <c r="C67" s="133"/>
      <c r="D67"/>
      <c r="E67" s="192"/>
      <c r="F67" s="1089">
        <v>0</v>
      </c>
      <c r="G67" s="1090" t="s">
        <v>830</v>
      </c>
      <c r="H67" s="343"/>
    </row>
    <row r="68" spans="1:8" ht="19.5">
      <c r="A68" s="137"/>
      <c r="B68" s="138"/>
      <c r="C68" s="133"/>
      <c r="D68"/>
      <c r="E68" s="192"/>
      <c r="F68" s="345"/>
      <c r="G68" s="1091"/>
      <c r="H68" s="343"/>
    </row>
    <row r="69" spans="1:8" ht="19.5">
      <c r="A69" s="137">
        <f>+A65+1</f>
        <v>17</v>
      </c>
      <c r="B69" s="138"/>
      <c r="C69" s="133" t="s">
        <v>395</v>
      </c>
      <c r="D69"/>
      <c r="E69" s="351">
        <f>SUM(F70:F75)</f>
        <v>0</v>
      </c>
      <c r="F69" s="345"/>
      <c r="G69" s="1091"/>
      <c r="H69" s="343"/>
    </row>
    <row r="70" spans="1:8" ht="19.5">
      <c r="A70" s="137"/>
      <c r="B70" s="138"/>
      <c r="C70" s="133"/>
      <c r="D70"/>
      <c r="E70" s="192"/>
      <c r="F70" s="1089">
        <v>0</v>
      </c>
      <c r="G70" s="1090" t="s">
        <v>831</v>
      </c>
      <c r="H70" s="343"/>
    </row>
    <row r="71" spans="1:8" ht="19.5">
      <c r="A71" s="137"/>
      <c r="B71" s="138"/>
      <c r="C71" s="133"/>
      <c r="D71"/>
      <c r="E71" s="192"/>
      <c r="F71" s="1089">
        <v>0</v>
      </c>
      <c r="G71" s="1090" t="s">
        <v>832</v>
      </c>
      <c r="H71" s="343"/>
    </row>
    <row r="72" spans="1:8" ht="19.5">
      <c r="A72" s="137"/>
      <c r="B72" s="138"/>
      <c r="C72" s="133"/>
      <c r="D72"/>
      <c r="E72" s="192"/>
      <c r="F72" s="1089">
        <v>0</v>
      </c>
      <c r="G72" s="1090" t="s">
        <v>146</v>
      </c>
      <c r="H72" s="343"/>
    </row>
    <row r="73" spans="1:8" ht="19.5">
      <c r="A73" s="137"/>
      <c r="B73" s="138"/>
      <c r="C73" s="133"/>
      <c r="D73"/>
      <c r="E73" s="192"/>
      <c r="F73" s="1089">
        <v>0</v>
      </c>
      <c r="G73" s="1090" t="s">
        <v>146</v>
      </c>
      <c r="H73" s="343"/>
    </row>
    <row r="74" spans="1:8" ht="19.5">
      <c r="A74" s="137"/>
      <c r="B74" s="138"/>
      <c r="C74" s="133"/>
      <c r="D74"/>
      <c r="E74" s="192"/>
      <c r="F74" s="1089">
        <v>0</v>
      </c>
      <c r="G74" s="1090" t="s">
        <v>146</v>
      </c>
      <c r="H74" s="343"/>
    </row>
    <row r="75" spans="1:8" ht="19.5">
      <c r="A75" s="137"/>
      <c r="B75" s="138"/>
      <c r="C75" s="133"/>
      <c r="D75"/>
      <c r="E75" s="192"/>
      <c r="F75" s="345">
        <v>0</v>
      </c>
      <c r="G75" s="1091" t="s">
        <v>146</v>
      </c>
      <c r="H75" s="343"/>
    </row>
    <row r="76" spans="1:8" ht="19.5">
      <c r="A76" s="137">
        <f>+A69+1</f>
        <v>18</v>
      </c>
      <c r="B76" s="138"/>
      <c r="C76" s="133" t="s">
        <v>396</v>
      </c>
      <c r="D76" s="138"/>
      <c r="E76" s="351">
        <f>SUM(F77:F78)</f>
        <v>0</v>
      </c>
      <c r="F76" s="345"/>
      <c r="G76" s="1091"/>
      <c r="H76" s="343"/>
    </row>
    <row r="77" spans="1:8" ht="19.5">
      <c r="A77" s="137"/>
      <c r="B77" s="138"/>
      <c r="C77" s="133"/>
      <c r="D77" s="138"/>
      <c r="E77" s="351"/>
      <c r="F77" s="1089">
        <v>0</v>
      </c>
      <c r="G77" s="1090" t="s">
        <v>146</v>
      </c>
      <c r="H77" s="343"/>
    </row>
    <row r="78" spans="1:8" ht="19.5">
      <c r="A78" s="137"/>
      <c r="B78" s="138"/>
      <c r="C78" s="133"/>
      <c r="D78" s="138"/>
      <c r="E78" s="355"/>
      <c r="F78" s="348" t="s">
        <v>146</v>
      </c>
      <c r="G78" s="1091" t="s">
        <v>146</v>
      </c>
      <c r="H78" s="343" t="s">
        <v>146</v>
      </c>
    </row>
    <row r="79" spans="1:8" ht="19.5">
      <c r="A79" s="137">
        <f>+A76+1</f>
        <v>19</v>
      </c>
      <c r="B79" s="138"/>
      <c r="C79" s="133" t="s">
        <v>397</v>
      </c>
      <c r="D79" s="135"/>
      <c r="E79" s="351">
        <f>SUM(F80:F82)</f>
        <v>12400</v>
      </c>
      <c r="F79" s="343"/>
      <c r="G79" s="148"/>
      <c r="H79" s="343"/>
    </row>
    <row r="80" spans="1:8" ht="19.5">
      <c r="A80" s="137"/>
      <c r="B80" s="138"/>
      <c r="C80" s="133"/>
      <c r="D80" s="138"/>
      <c r="E80" s="192"/>
      <c r="F80" s="1089">
        <v>12400</v>
      </c>
      <c r="G80" s="1090" t="s">
        <v>833</v>
      </c>
      <c r="H80" s="343"/>
    </row>
    <row r="81" spans="1:8" ht="19.5">
      <c r="A81" s="137"/>
      <c r="B81" s="138"/>
      <c r="C81" s="133"/>
      <c r="D81" s="138"/>
      <c r="E81" s="192"/>
      <c r="F81" s="1089">
        <v>0</v>
      </c>
      <c r="G81" s="1090" t="s">
        <v>834</v>
      </c>
      <c r="H81" s="343"/>
    </row>
    <row r="82" spans="1:8" ht="19.5">
      <c r="A82" s="137"/>
      <c r="B82" s="138"/>
      <c r="C82" s="133"/>
      <c r="D82" s="138"/>
      <c r="E82" s="192"/>
      <c r="F82" s="148"/>
      <c r="G82" s="133"/>
      <c r="H82" s="343"/>
    </row>
    <row r="83" spans="1:8" ht="19.5">
      <c r="A83" s="137">
        <f>+A79+1</f>
        <v>20</v>
      </c>
      <c r="B83" s="138"/>
      <c r="C83" s="133" t="s">
        <v>385</v>
      </c>
      <c r="D83" s="133"/>
      <c r="E83" s="351">
        <f>SUM(F84:F85)</f>
        <v>0</v>
      </c>
      <c r="F83" s="148"/>
      <c r="G83" s="133"/>
      <c r="H83" s="343"/>
    </row>
    <row r="84" spans="1:8" ht="19.5">
      <c r="A84" s="137"/>
      <c r="B84" s="138"/>
      <c r="C84" s="133"/>
      <c r="D84" s="133"/>
      <c r="E84" s="192"/>
      <c r="F84" s="1089">
        <v>0</v>
      </c>
      <c r="G84" s="1090" t="s">
        <v>835</v>
      </c>
      <c r="H84" s="343"/>
    </row>
    <row r="85" spans="1:8" ht="19.5">
      <c r="A85" s="137"/>
      <c r="B85" s="138"/>
      <c r="C85" s="133"/>
      <c r="D85" s="133"/>
      <c r="E85" s="192"/>
      <c r="F85" s="1089">
        <v>0</v>
      </c>
      <c r="G85" s="1090" t="s">
        <v>836</v>
      </c>
      <c r="H85" s="343"/>
    </row>
    <row r="86" spans="1:8" ht="19.5">
      <c r="A86" s="137">
        <f>+A83+1</f>
        <v>21</v>
      </c>
      <c r="B86" s="133"/>
      <c r="C86" s="159" t="s">
        <v>138</v>
      </c>
      <c r="D86" s="148"/>
      <c r="E86" s="351">
        <f>SUM(F87:F87)</f>
        <v>0</v>
      </c>
      <c r="F86" s="348"/>
      <c r="G86" s="133"/>
      <c r="H86" s="343"/>
    </row>
    <row r="87" spans="1:7" ht="19.5">
      <c r="A87" s="137"/>
      <c r="B87" s="133"/>
      <c r="C87" s="159"/>
      <c r="D87" s="148"/>
      <c r="E87" s="192"/>
      <c r="F87" s="1089">
        <v>0</v>
      </c>
      <c r="G87" s="1090" t="s">
        <v>146</v>
      </c>
    </row>
    <row r="88" spans="1:7" ht="19.5">
      <c r="A88" s="7"/>
      <c r="B88" s="133"/>
      <c r="C88" s="299"/>
      <c r="D88"/>
      <c r="E88"/>
      <c r="F88" s="298"/>
      <c r="G88" s="349"/>
    </row>
    <row r="89" spans="1:7" ht="20.25" thickBot="1">
      <c r="A89" s="291">
        <f>+A86+1</f>
        <v>22</v>
      </c>
      <c r="B89" s="299"/>
      <c r="C89" s="133" t="s">
        <v>388</v>
      </c>
      <c r="D89"/>
      <c r="E89" s="158">
        <f>SUM(E13:E86)</f>
        <v>25118576</v>
      </c>
      <c r="F89" s="158">
        <f>SUM(F13:F87)</f>
        <v>25118576</v>
      </c>
      <c r="G89" s="133"/>
    </row>
    <row r="90" spans="1:7" ht="20.25" thickTop="1">
      <c r="A90" s="7"/>
      <c r="B90" s="299"/>
      <c r="C90" s="133" t="s">
        <v>483</v>
      </c>
      <c r="D90"/>
      <c r="E90"/>
      <c r="F90" s="348"/>
      <c r="G90" s="133"/>
    </row>
    <row r="91" spans="1:7" ht="21">
      <c r="A91" s="7"/>
      <c r="B91" s="299"/>
      <c r="C91" s="133"/>
      <c r="D91"/>
      <c r="E91" s="362"/>
      <c r="F91" s="194" t="s">
        <v>146</v>
      </c>
      <c r="G91" s="133"/>
    </row>
    <row r="92" spans="1:7" ht="20.25" customHeight="1">
      <c r="A92" s="1224" t="s">
        <v>481</v>
      </c>
      <c r="B92" s="1224"/>
      <c r="C92" s="1224"/>
      <c r="D92" s="1224"/>
      <c r="E92" s="1224"/>
      <c r="F92" s="1224"/>
      <c r="G92" s="1224"/>
    </row>
    <row r="93" spans="1:7" ht="20.25" customHeight="1">
      <c r="A93" s="1224"/>
      <c r="B93" s="1224"/>
      <c r="C93" s="1224"/>
      <c r="D93" s="1224"/>
      <c r="E93" s="1224"/>
      <c r="F93" s="1224"/>
      <c r="G93" s="1224"/>
    </row>
    <row r="94" spans="1:7" ht="20.25" customHeight="1">
      <c r="A94" s="1224"/>
      <c r="B94" s="1224"/>
      <c r="C94" s="1224"/>
      <c r="D94" s="1224"/>
      <c r="E94" s="1224"/>
      <c r="F94" s="1224"/>
      <c r="G94" s="1224"/>
    </row>
    <row r="95" spans="1:7" ht="20.25" customHeight="1">
      <c r="A95" s="1224"/>
      <c r="B95" s="1224"/>
      <c r="C95" s="1224"/>
      <c r="D95" s="1224"/>
      <c r="E95" s="1224"/>
      <c r="F95" s="1224"/>
      <c r="G95" s="1224"/>
    </row>
    <row r="96" spans="1:7" ht="20.25" customHeight="1">
      <c r="A96" s="1224"/>
      <c r="B96" s="1224"/>
      <c r="C96" s="1224"/>
      <c r="D96" s="1224"/>
      <c r="E96" s="1224"/>
      <c r="F96" s="1224"/>
      <c r="G96" s="1224"/>
    </row>
    <row r="97" spans="2:7" ht="19.5">
      <c r="B97" s="189"/>
      <c r="F97" s="148"/>
      <c r="G97" s="133"/>
    </row>
    <row r="98" spans="2:7" ht="19.5">
      <c r="B98" s="189"/>
      <c r="F98" s="192" t="s">
        <v>146</v>
      </c>
      <c r="G98" s="133"/>
    </row>
    <row r="99" spans="2:7" ht="19.5">
      <c r="B99" s="189"/>
      <c r="F99" s="148"/>
      <c r="G99" s="133"/>
    </row>
    <row r="100" spans="2:7" ht="19.5">
      <c r="B100" s="189"/>
      <c r="F100" s="348"/>
      <c r="G100" s="133"/>
    </row>
    <row r="101" spans="2:7" ht="19.5">
      <c r="B101" s="189"/>
      <c r="F101" s="348"/>
      <c r="G101" s="133"/>
    </row>
    <row r="102" spans="2:7" ht="19.5">
      <c r="B102" s="189"/>
      <c r="F102" s="348"/>
      <c r="G102" s="133"/>
    </row>
    <row r="103" spans="2:7" ht="19.5">
      <c r="B103" s="189"/>
      <c r="F103" s="148"/>
      <c r="G103" s="343"/>
    </row>
    <row r="104" spans="2:7" ht="19.5">
      <c r="B104" s="189"/>
      <c r="F104" s="148"/>
      <c r="G104" s="343"/>
    </row>
    <row r="105" spans="2:7" ht="19.5">
      <c r="B105" s="189"/>
      <c r="F105" s="148"/>
      <c r="G105" s="343"/>
    </row>
    <row r="106" spans="2:7" ht="19.5">
      <c r="B106" s="189"/>
      <c r="F106" s="350"/>
      <c r="G106" s="343"/>
    </row>
    <row r="107" spans="2:6" ht="19.5">
      <c r="B107" s="189"/>
      <c r="F107" s="160"/>
    </row>
    <row r="108" spans="2:6" ht="12.75">
      <c r="B108" s="189"/>
      <c r="F108" s="340"/>
    </row>
    <row r="109" spans="2:6" ht="12.75">
      <c r="B109" s="189"/>
      <c r="F109" s="340"/>
    </row>
    <row r="110" ht="12.75">
      <c r="B110" s="189"/>
    </row>
    <row r="111" ht="12.75">
      <c r="B111" s="189"/>
    </row>
    <row r="112" ht="12.75">
      <c r="B112" s="189"/>
    </row>
    <row r="113" ht="12.75">
      <c r="B113" s="189"/>
    </row>
  </sheetData>
  <sheetProtection/>
  <mergeCells count="6">
    <mergeCell ref="A92:G96"/>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G13" sqref="G1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27" t="s">
        <v>491</v>
      </c>
      <c r="B1" s="1227"/>
      <c r="C1" s="1227"/>
      <c r="D1" s="1227"/>
      <c r="E1" s="1227"/>
      <c r="F1" s="1227"/>
      <c r="G1" s="1227"/>
      <c r="H1" s="1227"/>
      <c r="I1" s="1227"/>
      <c r="J1" s="1227"/>
      <c r="K1" s="183"/>
      <c r="L1" s="183"/>
      <c r="M1" s="183"/>
    </row>
    <row r="2" spans="1:13" ht="18">
      <c r="A2" s="1226" t="str">
        <f>"Cost of Service Formula Rate Using "&amp;'KP TCOS'!L2&amp;" FF1 Balances"</f>
        <v>Cost of Service Formula Rate Using 2017 FF1 Balances</v>
      </c>
      <c r="B2" s="1226"/>
      <c r="C2" s="1226"/>
      <c r="D2" s="1226"/>
      <c r="E2" s="1226"/>
      <c r="F2" s="1226"/>
      <c r="G2" s="1226"/>
      <c r="H2" s="1226"/>
      <c r="I2" s="1226"/>
      <c r="J2" s="1226"/>
      <c r="K2" s="115"/>
      <c r="L2" s="115"/>
      <c r="M2" s="115"/>
    </row>
    <row r="3" spans="1:13" ht="18">
      <c r="A3" s="1226" t="s">
        <v>713</v>
      </c>
      <c r="B3" s="1226"/>
      <c r="C3" s="1226"/>
      <c r="D3" s="1226"/>
      <c r="E3" s="1226"/>
      <c r="F3" s="1226"/>
      <c r="G3" s="1226"/>
      <c r="H3" s="1226"/>
      <c r="I3" s="1226"/>
      <c r="J3" s="1226"/>
      <c r="K3" s="184"/>
      <c r="L3" s="184"/>
      <c r="M3" s="184"/>
    </row>
    <row r="4" spans="1:13" ht="18">
      <c r="A4" s="1220" t="str">
        <f>+'KP TCOS'!F7</f>
        <v>KENTUCKY POWER COMPANY</v>
      </c>
      <c r="B4" s="1220"/>
      <c r="C4" s="1220"/>
      <c r="D4" s="1220"/>
      <c r="E4" s="1220"/>
      <c r="F4" s="1220"/>
      <c r="G4" s="1220"/>
      <c r="H4" s="1220"/>
      <c r="I4" s="1220"/>
      <c r="J4" s="1220"/>
      <c r="K4" s="196"/>
      <c r="L4" s="196"/>
      <c r="M4" s="196"/>
    </row>
    <row r="6" spans="1:6" ht="18">
      <c r="A6" s="201"/>
      <c r="B6" s="123"/>
      <c r="D6" s="125"/>
      <c r="E6" s="7"/>
      <c r="F6" s="129"/>
    </row>
    <row r="7" spans="3:29" ht="18">
      <c r="C7" s="8"/>
      <c r="D7" s="125"/>
      <c r="E7" s="7"/>
      <c r="F7" s="129"/>
      <c r="H7" s="22"/>
      <c r="Q7" s="183"/>
      <c r="R7" s="183"/>
      <c r="S7" s="183"/>
      <c r="T7" s="183"/>
      <c r="U7" s="183"/>
      <c r="V7" s="183"/>
      <c r="W7" s="183"/>
      <c r="X7" s="183"/>
      <c r="Y7" s="183"/>
      <c r="Z7" s="183"/>
      <c r="AA7" s="183"/>
      <c r="AB7" s="183"/>
      <c r="AC7" s="183"/>
    </row>
    <row r="8" spans="3:8" ht="12.75">
      <c r="C8" s="8"/>
      <c r="D8" s="125"/>
      <c r="H8" s="1092"/>
    </row>
    <row r="9" spans="3:8" ht="12.75">
      <c r="C9" s="8"/>
      <c r="D9" s="125"/>
      <c r="H9" s="128"/>
    </row>
    <row r="10" spans="3:8" ht="12.75">
      <c r="C10" s="8"/>
      <c r="D10" s="125"/>
      <c r="H10" s="126"/>
    </row>
    <row r="11" spans="3:8" ht="12.75">
      <c r="C11" s="8"/>
      <c r="D11" s="125"/>
      <c r="H11" s="126"/>
    </row>
    <row r="12" spans="3:8" ht="12.75">
      <c r="C12" s="8"/>
      <c r="D12" s="125"/>
      <c r="E12" s="7"/>
      <c r="H12" s="126"/>
    </row>
    <row r="13" spans="3:8" ht="12.75">
      <c r="C13" s="8"/>
      <c r="D13" s="125"/>
      <c r="E13" s="7"/>
      <c r="H13" s="129"/>
    </row>
    <row r="14" spans="3:8" ht="12.75">
      <c r="C14" s="8"/>
      <c r="D14" s="125"/>
      <c r="E14" s="7"/>
      <c r="H14" s="197"/>
    </row>
    <row r="16" spans="1:2" ht="18">
      <c r="A16" s="201"/>
      <c r="B16" s="20"/>
    </row>
    <row r="18" spans="1:10" ht="12.75">
      <c r="A18" s="19"/>
      <c r="B18" s="19"/>
      <c r="C18" s="198"/>
      <c r="D18" s="198"/>
      <c r="E18" s="198"/>
      <c r="F18" s="198"/>
      <c r="G18" s="198"/>
      <c r="H18" s="198"/>
      <c r="I18" s="198"/>
      <c r="J18" s="199"/>
    </row>
    <row r="19" spans="4:5" ht="12.75">
      <c r="D19" s="22"/>
      <c r="E19" s="22"/>
    </row>
    <row r="20" spans="4:12" ht="12.75">
      <c r="D20" s="1093"/>
      <c r="E20" s="1094"/>
      <c r="F20" s="200"/>
      <c r="G20" s="200"/>
      <c r="I20" s="200"/>
      <c r="L20" s="405"/>
    </row>
    <row r="21" spans="4:12" ht="12.75">
      <c r="D21" s="1093"/>
      <c r="E21" s="1095"/>
      <c r="F21" s="200"/>
      <c r="G21" s="200"/>
      <c r="I21" s="200"/>
      <c r="L21" s="405"/>
    </row>
    <row r="22" spans="4:12" ht="12.75">
      <c r="D22" s="1093"/>
      <c r="E22" s="1095"/>
      <c r="F22" s="200"/>
      <c r="G22" s="200"/>
      <c r="I22" s="200"/>
      <c r="L22" s="405"/>
    </row>
    <row r="23" spans="4:12" ht="12.75">
      <c r="D23" s="1093"/>
      <c r="E23" s="1095"/>
      <c r="F23" s="200"/>
      <c r="G23" s="200"/>
      <c r="I23" s="200"/>
      <c r="L23" s="405"/>
    </row>
    <row r="24" spans="4:12" ht="12.75">
      <c r="D24" s="1093"/>
      <c r="E24" s="1095"/>
      <c r="F24" s="200"/>
      <c r="G24" s="200"/>
      <c r="I24" s="200"/>
      <c r="L24" s="405"/>
    </row>
    <row r="25" spans="4:12" ht="12.75">
      <c r="D25" s="1093"/>
      <c r="E25" s="1095"/>
      <c r="F25" s="200"/>
      <c r="G25" s="200"/>
      <c r="I25" s="200"/>
      <c r="L25" s="405"/>
    </row>
    <row r="26" spans="4:12" ht="12.75">
      <c r="D26" s="1093"/>
      <c r="E26" s="1095"/>
      <c r="F26" s="200"/>
      <c r="G26" s="200"/>
      <c r="I26" s="200"/>
      <c r="L26" s="405"/>
    </row>
    <row r="27" spans="4:12" ht="12.75">
      <c r="D27" s="1093"/>
      <c r="E27" s="1095"/>
      <c r="F27" s="200"/>
      <c r="G27" s="200"/>
      <c r="I27" s="200"/>
      <c r="L27" s="405"/>
    </row>
    <row r="28" spans="4:12" ht="12.75">
      <c r="D28" s="1093"/>
      <c r="E28" s="1095"/>
      <c r="F28" s="200"/>
      <c r="G28" s="200"/>
      <c r="I28" s="200"/>
      <c r="L28" s="405"/>
    </row>
    <row r="29" spans="4:12" ht="12.75">
      <c r="D29" s="1093"/>
      <c r="E29" s="1095"/>
      <c r="F29" s="200"/>
      <c r="G29" s="200"/>
      <c r="I29" s="200"/>
      <c r="L29" s="405"/>
    </row>
    <row r="30" spans="4:12" ht="12.75">
      <c r="D30" s="1093"/>
      <c r="E30" s="1095"/>
      <c r="F30" s="200"/>
      <c r="G30" s="200"/>
      <c r="I30" s="200"/>
      <c r="L30" s="405"/>
    </row>
    <row r="31" spans="4:12" ht="12.75">
      <c r="D31" s="1093"/>
      <c r="E31" s="1095"/>
      <c r="F31" s="200"/>
      <c r="G31" s="200"/>
      <c r="I31" s="200"/>
      <c r="L31" s="405"/>
    </row>
    <row r="32" spans="4:5" ht="12.75">
      <c r="D32" s="363"/>
      <c r="E32" s="22"/>
    </row>
    <row r="33" spans="4:9" ht="12.75">
      <c r="D33" s="1096"/>
      <c r="E33" s="22"/>
      <c r="H33" s="117"/>
      <c r="I33" s="410"/>
    </row>
    <row r="34" spans="4:5" ht="12.75">
      <c r="D34" s="22"/>
      <c r="E34" s="22"/>
    </row>
    <row r="35" spans="1:5" ht="18">
      <c r="A35" s="201"/>
      <c r="B35" s="20"/>
      <c r="D35" s="22"/>
      <c r="E35" s="22"/>
    </row>
    <row r="36" spans="4:5" ht="12.75">
      <c r="D36" s="1097"/>
      <c r="E36" s="22"/>
    </row>
    <row r="37" spans="4:5" ht="12.75">
      <c r="D37" s="1097"/>
      <c r="E37" s="22"/>
    </row>
    <row r="38" spans="4:5" ht="12.75">
      <c r="D38" s="22"/>
      <c r="E38" s="22"/>
    </row>
    <row r="39" spans="4:5" ht="12.75">
      <c r="D39" s="229"/>
      <c r="E39" s="22"/>
    </row>
    <row r="40" spans="4:5" ht="12.75">
      <c r="D40" s="22"/>
      <c r="E40" s="22"/>
    </row>
    <row r="41" spans="4:5" ht="12.75">
      <c r="D41" s="22"/>
      <c r="E41" s="22"/>
    </row>
    <row r="42" spans="1:9" ht="18">
      <c r="A42" s="201"/>
      <c r="B42" s="210"/>
      <c r="C42" s="202"/>
      <c r="D42" s="22"/>
      <c r="E42" s="308"/>
      <c r="F42" s="202"/>
      <c r="G42" s="202"/>
      <c r="H42" s="202"/>
      <c r="I42" s="125"/>
    </row>
    <row r="43" spans="2:9" ht="12.75">
      <c r="B43" s="203"/>
      <c r="C43" s="202"/>
      <c r="D43" s="308"/>
      <c r="E43" s="308"/>
      <c r="F43" s="202"/>
      <c r="G43" s="202"/>
      <c r="H43" s="202"/>
      <c r="I43" s="125"/>
    </row>
    <row r="44" spans="2:8" ht="12.75">
      <c r="B44" s="209"/>
      <c r="C44" s="202"/>
      <c r="D44" s="308"/>
      <c r="E44" s="308"/>
      <c r="F44" s="202"/>
      <c r="G44" s="211"/>
      <c r="H44" s="211"/>
    </row>
    <row r="45" spans="2:7" ht="12.75">
      <c r="B45" s="209"/>
      <c r="C45" s="204"/>
      <c r="D45" s="114"/>
      <c r="E45" s="114"/>
      <c r="F45" s="204"/>
      <c r="G45" s="204"/>
    </row>
    <row r="46" spans="2:10" ht="12.75">
      <c r="B46" s="206"/>
      <c r="D46" s="22"/>
      <c r="E46" s="22"/>
      <c r="F46" s="117"/>
      <c r="G46" s="255"/>
      <c r="H46" s="214"/>
      <c r="I46" s="207"/>
      <c r="J46" s="212"/>
    </row>
    <row r="47" spans="2:10" ht="12.75">
      <c r="B47" s="206"/>
      <c r="D47" s="22"/>
      <c r="E47" s="22"/>
      <c r="F47" s="117"/>
      <c r="G47" s="205"/>
      <c r="H47" s="214"/>
      <c r="I47" s="207"/>
      <c r="J47" s="212"/>
    </row>
    <row r="48" spans="2:10" ht="12.75">
      <c r="B48" s="209"/>
      <c r="G48" s="205"/>
      <c r="H48" s="214"/>
      <c r="I48" s="207"/>
      <c r="J48" s="212"/>
    </row>
    <row r="49" spans="2:10" ht="12.75">
      <c r="B49" s="307"/>
      <c r="C49" s="308"/>
      <c r="D49" s="202"/>
      <c r="E49" s="202"/>
      <c r="F49" s="202"/>
      <c r="G49" s="411"/>
      <c r="H49" s="212"/>
      <c r="J49" s="212"/>
    </row>
    <row r="50" spans="6:10" ht="12.75">
      <c r="F50" s="117"/>
      <c r="G50" s="255"/>
      <c r="J50" s="213"/>
    </row>
    <row r="53" ht="12.75">
      <c r="D53" s="213"/>
    </row>
    <row r="54" spans="4:8" ht="12.75">
      <c r="D54" s="213"/>
      <c r="H54" s="125"/>
    </row>
    <row r="55" spans="4:8" ht="12.75">
      <c r="D55" s="213"/>
      <c r="H55" s="202"/>
    </row>
    <row r="56" ht="12.75">
      <c r="D56" s="213"/>
    </row>
    <row r="57" spans="4:8" ht="12.75">
      <c r="D57" s="213"/>
      <c r="H57" s="125"/>
    </row>
    <row r="58" ht="12.75">
      <c r="D58" s="213"/>
    </row>
    <row r="59" ht="12.75">
      <c r="D59" s="213"/>
    </row>
    <row r="60" ht="12.75">
      <c r="D60" s="213"/>
    </row>
    <row r="61" spans="4:8" ht="12.75">
      <c r="D61" s="213"/>
      <c r="H61" s="203"/>
    </row>
    <row r="62" spans="4:8" ht="12.75">
      <c r="D62" s="213"/>
      <c r="H62" s="256"/>
    </row>
    <row r="63" spans="4:8" ht="12.75">
      <c r="D63" s="213"/>
      <c r="H63" s="256"/>
    </row>
    <row r="64" ht="12.75">
      <c r="D64" s="213"/>
    </row>
    <row r="72" spans="2:7" ht="12.75">
      <c r="B72" s="206"/>
      <c r="G72" s="207"/>
    </row>
    <row r="73" ht="12.75">
      <c r="G73" s="207"/>
    </row>
    <row r="74" spans="2:7" ht="12.75">
      <c r="B74" s="257"/>
      <c r="G74" s="258"/>
    </row>
    <row r="75" ht="12.75">
      <c r="G75" s="207"/>
    </row>
    <row r="76" ht="12.75">
      <c r="G76" s="208"/>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zoomScale="60" zoomScaleNormal="60" zoomScaleSheetLayoutView="70" zoomScalePageLayoutView="0" workbookViewId="0" topLeftCell="A1">
      <selection activeCell="A1" sqref="A1:O1"/>
    </sheetView>
  </sheetViews>
  <sheetFormatPr defaultColWidth="8.8515625" defaultRowHeight="12.75"/>
  <cols>
    <col min="1" max="1" width="4.7109375" style="441" customWidth="1"/>
    <col min="2" max="2" width="6.7109375" style="534" customWidth="1"/>
    <col min="3" max="3" width="42.00390625" style="441" customWidth="1"/>
    <col min="4" max="4" width="17.7109375" style="547" customWidth="1"/>
    <col min="5" max="7" width="17.7109375" style="441" customWidth="1"/>
    <col min="8" max="8" width="17.7109375" style="740" customWidth="1"/>
    <col min="9" max="9" width="17.7109375" style="441" bestFit="1" customWidth="1"/>
    <col min="10" max="10" width="2.140625" style="425" customWidth="1"/>
    <col min="11" max="11" width="20.7109375" style="441" customWidth="1"/>
    <col min="12" max="14" width="17.7109375" style="441" customWidth="1"/>
    <col min="15" max="15" width="16.7109375" style="441" customWidth="1"/>
    <col min="16" max="16" width="2.140625" style="680" customWidth="1"/>
    <col min="17" max="16384" width="8.8515625" style="441" customWidth="1"/>
  </cols>
  <sheetData>
    <row r="1" spans="1:16" ht="15">
      <c r="A1" s="1212" t="s">
        <v>491</v>
      </c>
      <c r="B1" s="1212"/>
      <c r="C1" s="1212"/>
      <c r="D1" s="1212"/>
      <c r="E1" s="1212"/>
      <c r="F1" s="1212"/>
      <c r="G1" s="1212"/>
      <c r="H1" s="1212"/>
      <c r="I1" s="1212"/>
      <c r="J1" s="1212"/>
      <c r="K1" s="1212"/>
      <c r="L1" s="1212"/>
      <c r="M1" s="1212"/>
      <c r="N1" s="1212"/>
      <c r="O1" s="1212"/>
      <c r="P1" s="739"/>
    </row>
    <row r="2" spans="1:16" ht="15">
      <c r="A2" s="1213" t="str">
        <f>"Cost of Service Formula Rate Using "&amp;'KP TCOS'!L2&amp;" FF1 Balances"</f>
        <v>Cost of Service Formula Rate Using 2017 FF1 Balances</v>
      </c>
      <c r="B2" s="1213"/>
      <c r="C2" s="1213"/>
      <c r="D2" s="1213"/>
      <c r="E2" s="1213"/>
      <c r="F2" s="1213"/>
      <c r="G2" s="1213"/>
      <c r="H2" s="1213"/>
      <c r="I2" s="1213"/>
      <c r="J2" s="1213"/>
      <c r="K2" s="1213"/>
      <c r="L2" s="1213"/>
      <c r="M2" s="1213"/>
      <c r="N2" s="1213"/>
      <c r="O2" s="1213"/>
      <c r="P2" s="739"/>
    </row>
    <row r="3" spans="1:16" ht="15">
      <c r="A3" s="1213" t="s">
        <v>594</v>
      </c>
      <c r="B3" s="1213"/>
      <c r="C3" s="1213"/>
      <c r="D3" s="1213"/>
      <c r="E3" s="1213"/>
      <c r="F3" s="1213"/>
      <c r="G3" s="1213"/>
      <c r="H3" s="1213"/>
      <c r="I3" s="1213"/>
      <c r="J3" s="1213"/>
      <c r="K3" s="1213"/>
      <c r="L3" s="1213"/>
      <c r="M3" s="1213"/>
      <c r="N3" s="1213"/>
      <c r="O3" s="1213"/>
      <c r="P3" s="739"/>
    </row>
    <row r="4" spans="1:16" ht="15">
      <c r="A4" s="1214" t="str">
        <f>+'KP WS A  - RB Support '!A4:F4</f>
        <v>KENTUCKY POWER COMPANY</v>
      </c>
      <c r="B4" s="1214"/>
      <c r="C4" s="1214"/>
      <c r="D4" s="1214"/>
      <c r="E4" s="1214"/>
      <c r="F4" s="1214"/>
      <c r="G4" s="1214"/>
      <c r="H4" s="1214"/>
      <c r="I4" s="1214"/>
      <c r="J4" s="1214"/>
      <c r="K4" s="1214"/>
      <c r="L4" s="1214"/>
      <c r="M4" s="1214"/>
      <c r="N4" s="1214"/>
      <c r="O4" s="1214"/>
      <c r="P4" s="739"/>
    </row>
    <row r="5" ht="12.75">
      <c r="P5" s="739"/>
    </row>
    <row r="6" spans="1:16" ht="20.25">
      <c r="A6" s="741"/>
      <c r="C6" s="534"/>
      <c r="N6" s="742" t="str">
        <f>"Page "&amp;P6&amp;" of "</f>
        <v>Page 1 of </v>
      </c>
      <c r="O6" s="743">
        <f>COUNT(P$6:P$57923)</f>
        <v>2</v>
      </c>
      <c r="P6" s="744">
        <v>1</v>
      </c>
    </row>
    <row r="7" spans="3:16" ht="18">
      <c r="C7" s="745"/>
      <c r="P7" s="739"/>
    </row>
    <row r="8" ht="12.75">
      <c r="P8" s="739"/>
    </row>
    <row r="9" spans="2:16" ht="18">
      <c r="B9" s="746" t="s">
        <v>203</v>
      </c>
      <c r="C9" s="1237" t="str">
        <f>"Calculate Return and Income Taxes with "&amp;F15&amp;" basis point ROE increase for Projects Qualified for Regional Billing."</f>
        <v>Calculate Return and Income Taxes with  basis point ROE increase for Projects Qualified for Regional Billing.</v>
      </c>
      <c r="D9" s="1189"/>
      <c r="E9" s="1189"/>
      <c r="F9" s="1189"/>
      <c r="G9" s="1189"/>
      <c r="H9" s="1189"/>
      <c r="P9" s="739"/>
    </row>
    <row r="10" spans="3:16" ht="18.75" customHeight="1">
      <c r="C10" s="1189"/>
      <c r="D10" s="1189"/>
      <c r="E10" s="1189"/>
      <c r="F10" s="1189"/>
      <c r="G10" s="1189"/>
      <c r="H10" s="1189"/>
      <c r="P10" s="739"/>
    </row>
    <row r="11" spans="3:16" ht="15.75" customHeight="1">
      <c r="C11" s="659"/>
      <c r="D11" s="659"/>
      <c r="E11" s="659"/>
      <c r="F11" s="659"/>
      <c r="G11" s="659"/>
      <c r="H11" s="659"/>
      <c r="P11" s="739"/>
    </row>
    <row r="12" spans="3:16" ht="15.75">
      <c r="C12" s="747" t="str">
        <f>"A.   Determine 'R' with hypothetical "&amp;F15&amp;" basis point increase in ROE for Identified Projects"</f>
        <v>A.   Determine 'R' with hypothetical  basis point increase in ROE for Identified Projects</v>
      </c>
      <c r="P12" s="739"/>
    </row>
    <row r="13" spans="3:16" ht="12.75">
      <c r="C13" s="534"/>
      <c r="P13" s="739"/>
    </row>
    <row r="14" spans="3:16" ht="12.75">
      <c r="C14" s="748" t="str">
        <f>"   ROE w/o incentives  (TCOS, ln "&amp;'KP TCOS'!B267&amp;")"</f>
        <v>   ROE w/o incentives  (TCOS, ln 169)</v>
      </c>
      <c r="E14" s="749"/>
      <c r="F14" s="750">
        <f>'KP TCOS'!J267</f>
        <v>0.1149</v>
      </c>
      <c r="G14" s="749"/>
      <c r="H14" s="751"/>
      <c r="I14" s="751"/>
      <c r="J14" s="752"/>
      <c r="K14" s="751"/>
      <c r="L14" s="751"/>
      <c r="M14" s="751"/>
      <c r="N14" s="751"/>
      <c r="O14" s="751"/>
      <c r="P14" s="752"/>
    </row>
    <row r="15" spans="3:10" ht="12.75">
      <c r="C15" s="748" t="s">
        <v>328</v>
      </c>
      <c r="E15" s="749"/>
      <c r="F15" s="1098"/>
      <c r="G15" s="753"/>
      <c r="H15" s="751"/>
      <c r="I15" s="751"/>
      <c r="J15" s="752"/>
    </row>
    <row r="16" spans="3:10" ht="12.75">
      <c r="C16" s="748" t="str">
        <f>"   ROE with additional "&amp;F15&amp;" basis point incentive"</f>
        <v>   ROE with additional  basis point incentive</v>
      </c>
      <c r="D16" s="749"/>
      <c r="E16" s="749"/>
      <c r="F16" s="754">
        <f>IF((F14+(F15/10000)&gt;0.1274),"ERROR",F14+(F15/10000))</f>
        <v>0.1149</v>
      </c>
      <c r="G16" s="755"/>
      <c r="H16" s="751"/>
      <c r="I16" s="751"/>
      <c r="J16" s="752"/>
    </row>
    <row r="17" spans="3:10" ht="12.75">
      <c r="C17" s="748" t="str">
        <f>"   Determine R  ( cost of long term debt, cost of preferred stock and equity percentage is from the TCOS, lns "&amp;'KP TCOS'!B265&amp;" through"&amp;'KP TCOS'!B267&amp;")"</f>
        <v>   Determine R  ( cost of long term debt, cost of preferred stock and equity percentage is from the TCOS, lns 167 through169)</v>
      </c>
      <c r="E17" s="749"/>
      <c r="F17" s="756"/>
      <c r="G17" s="749"/>
      <c r="H17" s="751"/>
      <c r="I17" s="751"/>
      <c r="J17" s="752"/>
    </row>
    <row r="18" spans="3:10" ht="12.75">
      <c r="C18" s="752"/>
      <c r="D18" s="757" t="s">
        <v>178</v>
      </c>
      <c r="E18" s="757" t="s">
        <v>177</v>
      </c>
      <c r="F18" s="758" t="s">
        <v>329</v>
      </c>
      <c r="G18" s="749"/>
      <c r="H18" s="751"/>
      <c r="I18" s="751"/>
      <c r="J18" s="752"/>
    </row>
    <row r="19" spans="3:15" ht="13.5" thickBot="1">
      <c r="C19" s="759" t="s">
        <v>333</v>
      </c>
      <c r="D19" s="760">
        <f>'KP TCOS'!H265</f>
        <v>0.5632212893441987</v>
      </c>
      <c r="E19" s="761">
        <f>'KP TCOS'!J265</f>
        <v>0.054414828735632186</v>
      </c>
      <c r="F19" s="762">
        <f>E19*D19</f>
        <v>0.030647589999926513</v>
      </c>
      <c r="G19" s="749"/>
      <c r="H19" s="751"/>
      <c r="I19" s="763"/>
      <c r="J19" s="764"/>
      <c r="K19" s="670"/>
      <c r="L19" s="670"/>
      <c r="M19" s="670"/>
      <c r="N19" s="670"/>
      <c r="O19" s="670"/>
    </row>
    <row r="20" spans="3:16" ht="12.75">
      <c r="C20" s="759" t="s">
        <v>334</v>
      </c>
      <c r="D20" s="760">
        <f>'KP TCOS'!H266</f>
        <v>0</v>
      </c>
      <c r="E20" s="761">
        <f>'KP TCOS'!J266</f>
        <v>0</v>
      </c>
      <c r="F20" s="762">
        <f>E20*D20</f>
        <v>0</v>
      </c>
      <c r="G20" s="765"/>
      <c r="H20" s="765"/>
      <c r="I20" s="766"/>
      <c r="J20" s="767"/>
      <c r="K20" s="1231" t="s">
        <v>577</v>
      </c>
      <c r="L20" s="1232"/>
      <c r="M20" s="1232"/>
      <c r="N20" s="1232"/>
      <c r="O20" s="1233"/>
      <c r="P20" s="767"/>
    </row>
    <row r="21" spans="3:16" ht="12.75">
      <c r="C21" s="768" t="s">
        <v>320</v>
      </c>
      <c r="D21" s="760">
        <f>'KP TCOS'!H267</f>
        <v>0.43677871065580137</v>
      </c>
      <c r="E21" s="761">
        <f>+F16</f>
        <v>0.1149</v>
      </c>
      <c r="F21" s="769">
        <f>E21*D21</f>
        <v>0.05018587385435158</v>
      </c>
      <c r="G21" s="765"/>
      <c r="H21" s="765"/>
      <c r="I21" s="766"/>
      <c r="J21" s="767"/>
      <c r="K21" s="1234"/>
      <c r="L21" s="1235"/>
      <c r="M21" s="1235"/>
      <c r="N21" s="1235"/>
      <c r="O21" s="1236"/>
      <c r="P21" s="767"/>
    </row>
    <row r="22" spans="3:16" ht="12.75">
      <c r="C22" s="770"/>
      <c r="D22" s="441"/>
      <c r="E22" s="771" t="s">
        <v>336</v>
      </c>
      <c r="F22" s="762">
        <f>SUM(F19:F21)</f>
        <v>0.08083346385427809</v>
      </c>
      <c r="G22" s="765"/>
      <c r="H22" s="765"/>
      <c r="I22" s="766"/>
      <c r="J22" s="767"/>
      <c r="K22" s="772"/>
      <c r="L22" s="773"/>
      <c r="M22" s="774" t="s">
        <v>330</v>
      </c>
      <c r="N22" s="774" t="s">
        <v>331</v>
      </c>
      <c r="O22" s="775" t="s">
        <v>332</v>
      </c>
      <c r="P22" s="767"/>
    </row>
    <row r="23" spans="3:16" ht="12.75">
      <c r="C23" s="680"/>
      <c r="D23" s="776"/>
      <c r="E23" s="776"/>
      <c r="F23" s="765"/>
      <c r="G23" s="765"/>
      <c r="H23" s="765"/>
      <c r="I23" s="765"/>
      <c r="J23" s="777"/>
      <c r="K23" s="778"/>
      <c r="L23" s="779"/>
      <c r="M23" s="779"/>
      <c r="N23" s="779"/>
      <c r="O23" s="780"/>
      <c r="P23" s="777"/>
    </row>
    <row r="24" spans="3:16" ht="16.5" thickBot="1">
      <c r="C24" s="747" t="str">
        <f>"B.   Determine Return using 'R' with hypothetical "&amp;F15&amp;" basis point ROE increase for Identified Projects."</f>
        <v>B.   Determine Return using 'R' with hypothetical  basis point ROE increase for Identified Projects.</v>
      </c>
      <c r="D24" s="776"/>
      <c r="E24" s="776"/>
      <c r="F24" s="781"/>
      <c r="G24" s="765"/>
      <c r="H24" s="749"/>
      <c r="I24" s="765"/>
      <c r="J24" s="777"/>
      <c r="K24" s="782" t="s">
        <v>337</v>
      </c>
      <c r="L24" s="783">
        <f>'KP TCOS'!L2</f>
        <v>2017</v>
      </c>
      <c r="M24" s="1099">
        <f>N87</f>
        <v>0</v>
      </c>
      <c r="N24" s="1099">
        <f>N88</f>
        <v>0</v>
      </c>
      <c r="O24" s="784">
        <f>+N24-M24</f>
        <v>0</v>
      </c>
      <c r="P24" s="777"/>
    </row>
    <row r="25" spans="3:16" ht="12.75">
      <c r="C25" s="752"/>
      <c r="D25" s="776"/>
      <c r="E25" s="776"/>
      <c r="F25" s="777"/>
      <c r="G25" s="777"/>
      <c r="H25" s="777"/>
      <c r="I25" s="777"/>
      <c r="J25" s="777"/>
      <c r="K25" s="785"/>
      <c r="L25" s="785"/>
      <c r="M25" s="785"/>
      <c r="N25" s="785"/>
      <c r="O25" s="785"/>
      <c r="P25" s="777"/>
    </row>
    <row r="26" spans="3:16" ht="12.75">
      <c r="C26" s="786" t="str">
        <f>"   Rate Base  (TCOS, ln "&amp;'KP TCOS'!B133&amp;")"</f>
        <v>   Rate Base  (TCOS, ln 79)</v>
      </c>
      <c r="D26" s="749"/>
      <c r="F26" s="787">
        <f>'KP TCOS'!L133</f>
        <v>306006341.17711055</v>
      </c>
      <c r="G26" s="777"/>
      <c r="H26" s="777"/>
      <c r="I26" s="777"/>
      <c r="J26" s="777"/>
      <c r="K26" s="785"/>
      <c r="L26" s="785"/>
      <c r="M26" s="785"/>
      <c r="N26" s="785"/>
      <c r="O26" s="788"/>
      <c r="P26" s="777"/>
    </row>
    <row r="27" spans="3:16" ht="12.75">
      <c r="C27" s="752" t="s">
        <v>602</v>
      </c>
      <c r="D27" s="789"/>
      <c r="F27" s="762">
        <f>F22</f>
        <v>0.08083346385427809</v>
      </c>
      <c r="G27" s="777"/>
      <c r="H27" s="777"/>
      <c r="I27" s="777"/>
      <c r="J27" s="777"/>
      <c r="K27" s="777"/>
      <c r="L27" s="777"/>
      <c r="M27" s="777"/>
      <c r="N27" s="777"/>
      <c r="O27" s="777"/>
      <c r="P27" s="777"/>
    </row>
    <row r="28" spans="3:16" ht="12.75">
      <c r="C28" s="790" t="s">
        <v>338</v>
      </c>
      <c r="D28" s="790"/>
      <c r="F28" s="766">
        <f>F26*F27</f>
        <v>24735552.518719856</v>
      </c>
      <c r="G28" s="777"/>
      <c r="H28" s="777"/>
      <c r="I28" s="767"/>
      <c r="J28" s="767"/>
      <c r="K28" s="767"/>
      <c r="L28" s="767"/>
      <c r="M28" s="767"/>
      <c r="N28" s="767"/>
      <c r="O28" s="777"/>
      <c r="P28" s="767"/>
    </row>
    <row r="29" spans="3:16" ht="12.75">
      <c r="C29" s="791"/>
      <c r="D29" s="751"/>
      <c r="E29" s="751"/>
      <c r="F29" s="777"/>
      <c r="G29" s="777"/>
      <c r="H29" s="777"/>
      <c r="I29" s="767"/>
      <c r="J29" s="767"/>
      <c r="K29" s="767"/>
      <c r="L29" s="767"/>
      <c r="M29" s="767"/>
      <c r="N29" s="767"/>
      <c r="O29" s="777"/>
      <c r="P29" s="767"/>
    </row>
    <row r="30" spans="3:16" ht="15.75">
      <c r="C30" s="747" t="str">
        <f>"C.   Determine Income Taxes using Return with hypothetical "&amp;F15&amp;" basis point ROE increase for Identified Projects."</f>
        <v>C.   Determine Income Taxes using Return with hypothetical  basis point ROE increase for Identified Projects.</v>
      </c>
      <c r="D30" s="792"/>
      <c r="E30" s="792"/>
      <c r="F30" s="793"/>
      <c r="G30" s="793"/>
      <c r="H30" s="793"/>
      <c r="I30" s="794"/>
      <c r="J30" s="794"/>
      <c r="K30" s="794"/>
      <c r="L30" s="794"/>
      <c r="M30" s="794"/>
      <c r="N30" s="794"/>
      <c r="O30" s="793"/>
      <c r="P30" s="794"/>
    </row>
    <row r="31" spans="3:16" ht="12.75">
      <c r="C31" s="770"/>
      <c r="D31" s="751"/>
      <c r="E31" s="751"/>
      <c r="F31" s="777"/>
      <c r="G31" s="777"/>
      <c r="H31" s="777"/>
      <c r="I31" s="767"/>
      <c r="J31" s="767"/>
      <c r="K31" s="767"/>
      <c r="L31" s="767"/>
      <c r="M31" s="767"/>
      <c r="N31" s="767"/>
      <c r="O31" s="777"/>
      <c r="P31" s="767"/>
    </row>
    <row r="32" spans="3:16" ht="12.75">
      <c r="C32" s="752" t="s">
        <v>339</v>
      </c>
      <c r="D32" s="771"/>
      <c r="F32" s="795">
        <f>F28</f>
        <v>24735552.518719856</v>
      </c>
      <c r="G32" s="777"/>
      <c r="H32" s="777"/>
      <c r="I32" s="777"/>
      <c r="J32" s="777"/>
      <c r="K32" s="777"/>
      <c r="L32" s="777"/>
      <c r="M32" s="777"/>
      <c r="N32" s="777"/>
      <c r="O32" s="777"/>
      <c r="P32" s="777"/>
    </row>
    <row r="33" spans="3:16" ht="12.75">
      <c r="C33" s="786" t="str">
        <f>"   Effective Tax Rate  (TCOS, ln "&amp;'KP TCOS'!B200&amp;")"</f>
        <v>   Effective Tax Rate  (TCOS, ln 127)</v>
      </c>
      <c r="D33" s="714"/>
      <c r="F33" s="796">
        <f>'KP TCOS'!G200</f>
        <v>0.39397887095353085</v>
      </c>
      <c r="G33" s="680"/>
      <c r="H33" s="797"/>
      <c r="I33" s="680"/>
      <c r="J33" s="739"/>
      <c r="K33" s="680"/>
      <c r="L33" s="680"/>
      <c r="M33" s="680"/>
      <c r="N33" s="680"/>
      <c r="O33" s="680"/>
      <c r="P33" s="739"/>
    </row>
    <row r="34" spans="3:16" ht="12.75">
      <c r="C34" s="791" t="s">
        <v>340</v>
      </c>
      <c r="D34" s="714"/>
      <c r="F34" s="798">
        <f>F32*F33</f>
        <v>9745285.053737015</v>
      </c>
      <c r="G34" s="680"/>
      <c r="H34" s="797"/>
      <c r="I34" s="680"/>
      <c r="J34" s="739"/>
      <c r="K34" s="680"/>
      <c r="L34" s="680"/>
      <c r="M34" s="680"/>
      <c r="N34" s="680"/>
      <c r="O34" s="680"/>
      <c r="P34" s="739"/>
    </row>
    <row r="35" spans="3:16" ht="15">
      <c r="C35" s="770" t="s">
        <v>379</v>
      </c>
      <c r="D35" s="601"/>
      <c r="F35" s="799">
        <f>'KP TCOS'!L209</f>
        <v>-9114.351471152584</v>
      </c>
      <c r="G35" s="601"/>
      <c r="H35" s="601"/>
      <c r="I35" s="601"/>
      <c r="J35" s="601"/>
      <c r="K35" s="601"/>
      <c r="L35" s="601"/>
      <c r="M35" s="601"/>
      <c r="N35" s="601"/>
      <c r="O35" s="501"/>
      <c r="P35" s="601"/>
    </row>
    <row r="36" spans="3:16" ht="15">
      <c r="C36" s="770" t="s">
        <v>698</v>
      </c>
      <c r="D36" s="601"/>
      <c r="F36" s="799">
        <f>'KP TCOS'!L210</f>
        <v>-49037.23560757135</v>
      </c>
      <c r="G36" s="601"/>
      <c r="H36" s="601"/>
      <c r="I36" s="601"/>
      <c r="J36" s="601"/>
      <c r="K36" s="601"/>
      <c r="L36" s="601"/>
      <c r="M36" s="601"/>
      <c r="N36" s="601"/>
      <c r="O36" s="501"/>
      <c r="P36" s="601"/>
    </row>
    <row r="37" spans="3:16" ht="15">
      <c r="C37" s="770" t="s">
        <v>699</v>
      </c>
      <c r="D37" s="601"/>
      <c r="F37" s="800">
        <f>'KP TCOS'!L211</f>
        <v>2206687.044362352</v>
      </c>
      <c r="G37" s="601"/>
      <c r="H37" s="601"/>
      <c r="I37" s="601"/>
      <c r="J37" s="601"/>
      <c r="K37" s="601"/>
      <c r="L37" s="601"/>
      <c r="M37" s="601"/>
      <c r="N37" s="601"/>
      <c r="O37" s="501"/>
      <c r="P37" s="601"/>
    </row>
    <row r="38" spans="3:16" ht="15">
      <c r="C38" s="791" t="s">
        <v>341</v>
      </c>
      <c r="D38" s="601"/>
      <c r="F38" s="799">
        <f>F34+F35+F36+F37</f>
        <v>11893820.511020642</v>
      </c>
      <c r="G38" s="601"/>
      <c r="H38" s="601"/>
      <c r="I38" s="601"/>
      <c r="J38" s="601"/>
      <c r="K38" s="601"/>
      <c r="L38" s="601"/>
      <c r="M38" s="601"/>
      <c r="N38" s="601"/>
      <c r="O38" s="457"/>
      <c r="P38" s="601"/>
    </row>
    <row r="39" spans="3:16" ht="12.75" customHeight="1">
      <c r="C39" s="510"/>
      <c r="D39" s="601"/>
      <c r="E39" s="601"/>
      <c r="F39" s="601"/>
      <c r="G39" s="601"/>
      <c r="H39" s="601"/>
      <c r="I39" s="601"/>
      <c r="J39" s="601"/>
      <c r="K39" s="601"/>
      <c r="L39" s="601"/>
      <c r="M39" s="601"/>
      <c r="N39" s="601"/>
      <c r="O39" s="457"/>
      <c r="P39" s="601"/>
    </row>
    <row r="40" spans="2:16" ht="18.75">
      <c r="B40" s="746" t="s">
        <v>204</v>
      </c>
      <c r="C40" s="745" t="str">
        <f>"Calculate Net Plant Carrying Charge Rate (Fixed Charge Rate or FCR) with hypothetical "&amp;F15&amp;""</f>
        <v>Calculate Net Plant Carrying Charge Rate (Fixed Charge Rate or FCR) with hypothetical </v>
      </c>
      <c r="D40" s="601"/>
      <c r="E40" s="601"/>
      <c r="F40" s="601"/>
      <c r="G40" s="601"/>
      <c r="H40" s="601"/>
      <c r="I40" s="601"/>
      <c r="J40" s="601"/>
      <c r="K40" s="601"/>
      <c r="L40" s="601"/>
      <c r="M40" s="601"/>
      <c r="N40" s="601"/>
      <c r="O40" s="457"/>
      <c r="P40" s="601"/>
    </row>
    <row r="41" spans="3:16" ht="18.75" customHeight="1">
      <c r="C41" s="745" t="str">
        <f>"basis point ROE increase."</f>
        <v>basis point ROE increase.</v>
      </c>
      <c r="D41" s="601"/>
      <c r="E41" s="601"/>
      <c r="F41" s="601"/>
      <c r="G41" s="601"/>
      <c r="H41" s="601"/>
      <c r="I41" s="601"/>
      <c r="J41" s="601"/>
      <c r="K41" s="601"/>
      <c r="L41" s="601"/>
      <c r="M41" s="601"/>
      <c r="N41" s="601"/>
      <c r="O41" s="457"/>
      <c r="P41" s="601"/>
    </row>
    <row r="42" spans="3:16" ht="12.75" customHeight="1">
      <c r="C42" s="745"/>
      <c r="D42" s="601"/>
      <c r="E42" s="601"/>
      <c r="F42" s="601"/>
      <c r="G42" s="601"/>
      <c r="H42" s="601"/>
      <c r="I42" s="601"/>
      <c r="J42" s="601"/>
      <c r="K42" s="601"/>
      <c r="L42" s="601"/>
      <c r="M42" s="601"/>
      <c r="N42" s="601"/>
      <c r="O42" s="457"/>
      <c r="P42" s="601"/>
    </row>
    <row r="43" spans="3:16" ht="15.75">
      <c r="C43" s="747" t="s">
        <v>591</v>
      </c>
      <c r="D43" s="601"/>
      <c r="E43" s="601"/>
      <c r="F43" s="600"/>
      <c r="G43" s="601"/>
      <c r="H43" s="601"/>
      <c r="I43" s="601"/>
      <c r="J43" s="601"/>
      <c r="K43" s="601"/>
      <c r="L43" s="601"/>
      <c r="M43" s="601"/>
      <c r="N43" s="601"/>
      <c r="O43" s="457"/>
      <c r="P43" s="601"/>
    </row>
    <row r="44" spans="2:16" ht="12.75">
      <c r="B44" s="727"/>
      <c r="C44" s="748"/>
      <c r="D44" s="801"/>
      <c r="E44" s="801"/>
      <c r="F44" s="801"/>
      <c r="G44" s="801"/>
      <c r="H44" s="801"/>
      <c r="I44" s="801"/>
      <c r="J44" s="801"/>
      <c r="K44" s="801"/>
      <c r="L44" s="801"/>
      <c r="M44" s="801"/>
      <c r="N44" s="801"/>
      <c r="O44" s="799"/>
      <c r="P44" s="801"/>
    </row>
    <row r="45" spans="2:16" ht="12.75" customHeight="1">
      <c r="B45" s="727"/>
      <c r="C45" s="786" t="str">
        <f>"   Annual Revenue Requirement  (TCOS, ln "&amp;'KP TCOS'!B11&amp;")"</f>
        <v>   Annual Revenue Requirement  (TCOS, ln 1)</v>
      </c>
      <c r="D45" s="801"/>
      <c r="E45" s="801"/>
      <c r="G45" s="799">
        <f>'KP TCOS'!L11</f>
        <v>65996191.56029514</v>
      </c>
      <c r="H45" s="801"/>
      <c r="I45" s="801"/>
      <c r="J45" s="801"/>
      <c r="K45" s="801"/>
      <c r="L45" s="801"/>
      <c r="M45" s="801"/>
      <c r="N45" s="801"/>
      <c r="O45" s="799"/>
      <c r="P45" s="801"/>
    </row>
    <row r="46" spans="2:16" ht="12.75" customHeight="1">
      <c r="B46" s="727"/>
      <c r="C46" s="786" t="str">
        <f>"   Lease Payments (TCOS, Ln "&amp;'KP TCOS'!B177&amp;")"</f>
        <v>   Lease Payments (TCOS, Ln 107)</v>
      </c>
      <c r="D46" s="801"/>
      <c r="E46" s="801"/>
      <c r="G46" s="799">
        <f>'KP TCOS'!L177</f>
        <v>0</v>
      </c>
      <c r="H46" s="801"/>
      <c r="I46" s="801"/>
      <c r="J46" s="801"/>
      <c r="K46" s="801"/>
      <c r="L46" s="801"/>
      <c r="M46" s="801"/>
      <c r="N46" s="801"/>
      <c r="O46" s="799"/>
      <c r="P46" s="801"/>
    </row>
    <row r="47" spans="2:16" ht="12.75">
      <c r="B47" s="727"/>
      <c r="C47" s="786" t="str">
        <f>"   Return  (TCOS, ln "&amp;'KP TCOS'!B215&amp;")"</f>
        <v>   Return  (TCOS, ln 139)</v>
      </c>
      <c r="D47" s="801"/>
      <c r="E47" s="801"/>
      <c r="G47" s="802">
        <f>'KP TCOS'!L215</f>
        <v>24735552.518719856</v>
      </c>
      <c r="H47" s="803"/>
      <c r="I47" s="803"/>
      <c r="J47" s="803"/>
      <c r="K47" s="803"/>
      <c r="L47" s="803"/>
      <c r="M47" s="803"/>
      <c r="N47" s="803"/>
      <c r="O47" s="799"/>
      <c r="P47" s="803"/>
    </row>
    <row r="48" spans="2:16" ht="12.75">
      <c r="B48" s="727"/>
      <c r="C48" s="786" t="str">
        <f>"   Income Taxes  (TCOS, ln "&amp;'KP TCOS'!B213&amp;")"</f>
        <v>   Income Taxes  (TCOS, ln 138)</v>
      </c>
      <c r="D48" s="801"/>
      <c r="E48" s="801"/>
      <c r="G48" s="804">
        <f>'KP TCOS'!L213</f>
        <v>11893820.511020642</v>
      </c>
      <c r="H48" s="801"/>
      <c r="I48" s="805"/>
      <c r="J48" s="805"/>
      <c r="K48" s="805"/>
      <c r="L48" s="805"/>
      <c r="M48" s="805"/>
      <c r="N48" s="805"/>
      <c r="O48" s="801"/>
      <c r="P48" s="805"/>
    </row>
    <row r="49" spans="2:16" ht="12.75">
      <c r="B49" s="727"/>
      <c r="C49" s="806" t="s">
        <v>762</v>
      </c>
      <c r="D49" s="801"/>
      <c r="E49" s="801"/>
      <c r="G49" s="802">
        <f>G45-G47-G48-G46</f>
        <v>29366818.53055464</v>
      </c>
      <c r="H49" s="801"/>
      <c r="I49" s="807"/>
      <c r="J49" s="807"/>
      <c r="K49" s="807"/>
      <c r="L49" s="807"/>
      <c r="M49" s="807"/>
      <c r="N49" s="807"/>
      <c r="O49" s="807"/>
      <c r="P49" s="807"/>
    </row>
    <row r="50" spans="2:16" ht="12.75">
      <c r="B50" s="727"/>
      <c r="C50" s="748"/>
      <c r="D50" s="801"/>
      <c r="E50" s="801"/>
      <c r="F50" s="799"/>
      <c r="G50" s="808"/>
      <c r="H50" s="809"/>
      <c r="I50" s="809"/>
      <c r="J50" s="809"/>
      <c r="K50" s="809"/>
      <c r="L50" s="809"/>
      <c r="M50" s="809"/>
      <c r="N50" s="809"/>
      <c r="O50" s="809"/>
      <c r="P50" s="809"/>
    </row>
    <row r="51" spans="2:16" ht="15.75">
      <c r="B51" s="727"/>
      <c r="C51" s="747" t="str">
        <f>"B.   Determine Annual Revenue Requirement with hypothetical "&amp;F15&amp;" basis point increase in ROE."</f>
        <v>B.   Determine Annual Revenue Requirement with hypothetical  basis point increase in ROE.</v>
      </c>
      <c r="D51" s="810"/>
      <c r="E51" s="810"/>
      <c r="F51" s="799"/>
      <c r="G51" s="808"/>
      <c r="H51" s="809"/>
      <c r="I51" s="809"/>
      <c r="J51" s="809"/>
      <c r="K51" s="809"/>
      <c r="L51" s="809"/>
      <c r="M51" s="809"/>
      <c r="N51" s="809"/>
      <c r="O51" s="809"/>
      <c r="P51" s="809"/>
    </row>
    <row r="52" spans="2:16" ht="12.75">
      <c r="B52" s="727"/>
      <c r="C52" s="748"/>
      <c r="D52" s="810"/>
      <c r="E52" s="810"/>
      <c r="F52" s="799"/>
      <c r="G52" s="808"/>
      <c r="H52" s="809"/>
      <c r="I52" s="809"/>
      <c r="J52" s="809"/>
      <c r="K52" s="809"/>
      <c r="L52" s="809"/>
      <c r="M52" s="809"/>
      <c r="N52" s="809"/>
      <c r="O52" s="809"/>
      <c r="P52" s="809"/>
    </row>
    <row r="53" spans="2:16" ht="12.75">
      <c r="B53" s="727"/>
      <c r="C53" s="748" t="str">
        <f>C49</f>
        <v>   Annual Revenue Requirement, Less Lease Payments, Return and Taxes</v>
      </c>
      <c r="D53" s="810"/>
      <c r="E53" s="810"/>
      <c r="G53" s="799">
        <f>G49</f>
        <v>29366818.53055464</v>
      </c>
      <c r="H53" s="801"/>
      <c r="I53" s="801"/>
      <c r="J53" s="801"/>
      <c r="K53" s="801"/>
      <c r="L53" s="801"/>
      <c r="M53" s="801"/>
      <c r="N53" s="801"/>
      <c r="O53" s="811"/>
      <c r="P53" s="801"/>
    </row>
    <row r="54" spans="2:16" ht="12.75">
      <c r="B54" s="727"/>
      <c r="C54" s="752" t="s">
        <v>376</v>
      </c>
      <c r="D54" s="812"/>
      <c r="E54" s="806"/>
      <c r="G54" s="813">
        <f>F28</f>
        <v>24735552.518719856</v>
      </c>
      <c r="H54" s="814"/>
      <c r="I54" s="806"/>
      <c r="J54" s="806"/>
      <c r="K54" s="806"/>
      <c r="L54" s="806"/>
      <c r="M54" s="806"/>
      <c r="N54" s="806"/>
      <c r="O54" s="806"/>
      <c r="P54" s="806"/>
    </row>
    <row r="55" spans="2:16" ht="12.75" customHeight="1">
      <c r="B55" s="727"/>
      <c r="C55" s="770" t="s">
        <v>342</v>
      </c>
      <c r="D55" s="801"/>
      <c r="E55" s="801"/>
      <c r="G55" s="804">
        <f>F38</f>
        <v>11893820.511020642</v>
      </c>
      <c r="H55" s="797"/>
      <c r="I55" s="680"/>
      <c r="J55" s="739"/>
      <c r="K55" s="680"/>
      <c r="L55" s="680"/>
      <c r="M55" s="680"/>
      <c r="N55" s="680"/>
      <c r="O55" s="680"/>
      <c r="P55" s="739"/>
    </row>
    <row r="56" spans="2:16" ht="12.75">
      <c r="B56" s="727"/>
      <c r="C56" s="806" t="str">
        <f>"   Annual Revenue Requirement, with "&amp;F15&amp;" Basis Point ROE increase"</f>
        <v>   Annual Revenue Requirement, with  Basis Point ROE increase</v>
      </c>
      <c r="D56" s="714"/>
      <c r="E56" s="680"/>
      <c r="G56" s="798">
        <f>SUM(G53:G55)</f>
        <v>65996191.560295135</v>
      </c>
      <c r="H56" s="797"/>
      <c r="I56" s="680"/>
      <c r="J56" s="739"/>
      <c r="K56" s="680"/>
      <c r="L56" s="680"/>
      <c r="M56" s="680"/>
      <c r="N56" s="680"/>
      <c r="O56" s="680"/>
      <c r="P56" s="739"/>
    </row>
    <row r="57" spans="2:16" ht="12.75">
      <c r="B57" s="727"/>
      <c r="C57" s="786" t="str">
        <f>"   Depreciation  (TCOS, ln "&amp;'KP TCOS'!B183&amp;")"</f>
        <v>   Depreciation  (TCOS, ln 112)</v>
      </c>
      <c r="D57" s="714"/>
      <c r="E57" s="680"/>
      <c r="G57" s="815">
        <f>'KP TCOS'!L183</f>
        <v>15375284.193322305</v>
      </c>
      <c r="H57" s="797"/>
      <c r="I57" s="680"/>
      <c r="J57" s="739"/>
      <c r="K57" s="680"/>
      <c r="L57" s="680"/>
      <c r="M57" s="680"/>
      <c r="N57" s="680"/>
      <c r="O57" s="680"/>
      <c r="P57" s="739"/>
    </row>
    <row r="58" spans="2:16" ht="12.75">
      <c r="B58" s="727"/>
      <c r="C58" s="806" t="str">
        <f>"   Annual Rev. Req, w/"&amp;F15&amp;" Basis Point ROE increase, less Depreciation"</f>
        <v>   Annual Rev. Req, w/ Basis Point ROE increase, less Depreciation</v>
      </c>
      <c r="D58" s="714"/>
      <c r="E58" s="680"/>
      <c r="G58" s="798">
        <f>G56-G57</f>
        <v>50620907.366972834</v>
      </c>
      <c r="H58" s="797"/>
      <c r="I58" s="680"/>
      <c r="J58" s="739"/>
      <c r="K58" s="680"/>
      <c r="L58" s="680"/>
      <c r="M58" s="680"/>
      <c r="N58" s="680"/>
      <c r="O58" s="680"/>
      <c r="P58" s="739"/>
    </row>
    <row r="59" spans="2:16" ht="12.75">
      <c r="B59" s="727"/>
      <c r="C59" s="680"/>
      <c r="D59" s="714"/>
      <c r="E59" s="680"/>
      <c r="F59" s="680"/>
      <c r="G59" s="680"/>
      <c r="H59" s="797"/>
      <c r="I59" s="680"/>
      <c r="J59" s="739"/>
      <c r="K59" s="680"/>
      <c r="L59" s="680"/>
      <c r="M59" s="680"/>
      <c r="N59" s="680"/>
      <c r="O59" s="680"/>
      <c r="P59" s="739"/>
    </row>
    <row r="60" spans="2:16" ht="15.75">
      <c r="B60" s="727"/>
      <c r="C60" s="747" t="str">
        <f>"C.   Determine FCR with hypothetical "&amp;F15&amp;" basis point ROE increase."</f>
        <v>C.   Determine FCR with hypothetical  basis point ROE increase.</v>
      </c>
      <c r="D60" s="714"/>
      <c r="E60" s="680"/>
      <c r="F60" s="680"/>
      <c r="G60" s="680"/>
      <c r="H60" s="797"/>
      <c r="I60" s="680"/>
      <c r="J60" s="739"/>
      <c r="K60" s="680"/>
      <c r="L60" s="680"/>
      <c r="M60" s="680"/>
      <c r="N60" s="680"/>
      <c r="O60" s="680"/>
      <c r="P60" s="739"/>
    </row>
    <row r="61" spans="2:16" ht="12.75">
      <c r="B61" s="727"/>
      <c r="C61" s="680"/>
      <c r="D61" s="714"/>
      <c r="E61" s="680"/>
      <c r="F61" s="680"/>
      <c r="G61" s="680"/>
      <c r="H61" s="797"/>
      <c r="I61" s="680"/>
      <c r="J61" s="739"/>
      <c r="K61" s="680"/>
      <c r="L61" s="680"/>
      <c r="M61" s="680"/>
      <c r="N61" s="680"/>
      <c r="O61" s="680"/>
      <c r="P61" s="739"/>
    </row>
    <row r="62" spans="2:16" ht="12.75">
      <c r="B62" s="727"/>
      <c r="C62" s="786" t="str">
        <f>"   Net Transmission Plant  (TCOS, ln "&amp;'KP TCOS'!B96&amp;")"</f>
        <v>   Net Transmission Plant  (TCOS, ln 49)</v>
      </c>
      <c r="D62" s="714"/>
      <c r="E62" s="680"/>
      <c r="G62" s="798">
        <f>'KP TCOS'!L96</f>
        <v>378923046.5</v>
      </c>
      <c r="H62" s="816"/>
      <c r="I62" s="680"/>
      <c r="J62" s="739"/>
      <c r="K62" s="680"/>
      <c r="L62" s="680"/>
      <c r="M62" s="680"/>
      <c r="N62" s="680"/>
      <c r="O62" s="680"/>
      <c r="P62" s="739"/>
    </row>
    <row r="63" spans="2:16" ht="12.75">
      <c r="B63" s="727"/>
      <c r="C63" s="806" t="str">
        <f>"   Annual Revenue Requirement, with "&amp;F15&amp;" Basis Point ROE increase"</f>
        <v>   Annual Revenue Requirement, with  Basis Point ROE increase</v>
      </c>
      <c r="D63" s="714"/>
      <c r="E63" s="680"/>
      <c r="G63" s="798">
        <f>G56</f>
        <v>65996191.560295135</v>
      </c>
      <c r="H63" s="797"/>
      <c r="I63" s="680"/>
      <c r="J63" s="739"/>
      <c r="K63" s="680"/>
      <c r="L63" s="680"/>
      <c r="M63" s="680"/>
      <c r="N63" s="680"/>
      <c r="O63" s="680"/>
      <c r="P63" s="739"/>
    </row>
    <row r="64" spans="2:16" ht="12.75">
      <c r="B64" s="727"/>
      <c r="C64" s="806" t="str">
        <f>"   FCR with "&amp;F15&amp;" Basis Point increase in ROE"</f>
        <v>   FCR with  Basis Point increase in ROE</v>
      </c>
      <c r="D64" s="714"/>
      <c r="E64" s="680"/>
      <c r="G64" s="796">
        <f>G63/G62</f>
        <v>0.174167795202436</v>
      </c>
      <c r="H64" s="797"/>
      <c r="I64" s="680"/>
      <c r="J64" s="739"/>
      <c r="K64" s="680"/>
      <c r="L64" s="680"/>
      <c r="M64" s="680"/>
      <c r="N64" s="680"/>
      <c r="O64" s="680"/>
      <c r="P64" s="739"/>
    </row>
    <row r="65" spans="2:16" ht="12.75">
      <c r="B65" s="727"/>
      <c r="C65" s="479"/>
      <c r="D65" s="714"/>
      <c r="E65" s="680"/>
      <c r="G65" s="727"/>
      <c r="H65" s="797"/>
      <c r="I65" s="680"/>
      <c r="J65" s="739"/>
      <c r="K65" s="680"/>
      <c r="L65" s="680"/>
      <c r="M65" s="680"/>
      <c r="N65" s="680"/>
      <c r="O65" s="680"/>
      <c r="P65" s="739"/>
    </row>
    <row r="66" spans="2:16" ht="12.75">
      <c r="B66" s="727"/>
      <c r="C66" s="806" t="str">
        <f>"   Annual Rev. Req, w / "&amp;F15&amp;" Basis Point ROE increase, less Dep."</f>
        <v>   Annual Rev. Req, w /  Basis Point ROE increase, less Dep.</v>
      </c>
      <c r="D66" s="714"/>
      <c r="E66" s="680"/>
      <c r="G66" s="798">
        <f>G58</f>
        <v>50620907.366972834</v>
      </c>
      <c r="H66" s="797"/>
      <c r="I66" s="680"/>
      <c r="J66" s="739"/>
      <c r="K66" s="680"/>
      <c r="L66" s="680"/>
      <c r="M66" s="680"/>
      <c r="N66" s="680"/>
      <c r="O66" s="680"/>
      <c r="P66" s="739"/>
    </row>
    <row r="67" spans="2:16" ht="12.75">
      <c r="B67" s="727"/>
      <c r="C67" s="806" t="str">
        <f>"   FCR with "&amp;F15&amp;" Basis Point ROE increase, less Depreciation"</f>
        <v>   FCR with  Basis Point ROE increase, less Depreciation</v>
      </c>
      <c r="D67" s="714"/>
      <c r="E67" s="680"/>
      <c r="G67" s="796">
        <f>G66/G62</f>
        <v>0.1335915242805714</v>
      </c>
      <c r="H67" s="797"/>
      <c r="I67" s="680"/>
      <c r="J67" s="739"/>
      <c r="K67" s="680"/>
      <c r="L67" s="680"/>
      <c r="M67" s="680"/>
      <c r="N67" s="680"/>
      <c r="O67" s="680"/>
      <c r="P67" s="739"/>
    </row>
    <row r="68" spans="2:16" ht="12.75">
      <c r="B68" s="727"/>
      <c r="C68" s="786" t="str">
        <f>"   FCR less Depreciation  (TCOS, ln "&amp;'KP TCOS'!B32&amp;")"</f>
        <v>   FCR less Depreciation  (TCOS, ln 10)</v>
      </c>
      <c r="D68" s="714"/>
      <c r="E68" s="680"/>
      <c r="G68" s="817">
        <f>'KP TCOS'!L32</f>
        <v>0.1335915242805714</v>
      </c>
      <c r="H68" s="797"/>
      <c r="I68" s="680"/>
      <c r="J68" s="739"/>
      <c r="K68" s="680"/>
      <c r="L68" s="680"/>
      <c r="M68" s="680"/>
      <c r="N68" s="680"/>
      <c r="O68" s="680"/>
      <c r="P68" s="739"/>
    </row>
    <row r="69" spans="2:16" ht="12.75">
      <c r="B69" s="727"/>
      <c r="C69" s="806" t="str">
        <f>"   Incremental FCR with "&amp;F15&amp;" Basis Point ROE increase, less Depreciation"</f>
        <v>   Incremental FCR with  Basis Point ROE increase, less Depreciation</v>
      </c>
      <c r="D69" s="714"/>
      <c r="E69" s="680"/>
      <c r="G69" s="796">
        <f>G67-G68</f>
        <v>0</v>
      </c>
      <c r="H69" s="797"/>
      <c r="I69" s="680"/>
      <c r="J69" s="739"/>
      <c r="K69" s="680"/>
      <c r="L69" s="680"/>
      <c r="M69" s="680"/>
      <c r="N69" s="680"/>
      <c r="O69" s="680"/>
      <c r="P69" s="739"/>
    </row>
    <row r="70" spans="2:16" ht="12.75">
      <c r="B70" s="727"/>
      <c r="C70" s="806"/>
      <c r="D70" s="714"/>
      <c r="E70" s="680"/>
      <c r="F70" s="796"/>
      <c r="G70" s="680"/>
      <c r="H70" s="797"/>
      <c r="I70" s="680"/>
      <c r="J70" s="739"/>
      <c r="K70" s="680"/>
      <c r="L70" s="680"/>
      <c r="M70" s="680"/>
      <c r="N70" s="680"/>
      <c r="O70" s="680"/>
      <c r="P70" s="739"/>
    </row>
    <row r="71" spans="2:16" ht="18.75">
      <c r="B71" s="746" t="s">
        <v>205</v>
      </c>
      <c r="C71" s="745" t="s">
        <v>343</v>
      </c>
      <c r="D71" s="714"/>
      <c r="E71" s="680"/>
      <c r="F71" s="796"/>
      <c r="G71" s="680"/>
      <c r="H71" s="797"/>
      <c r="I71" s="680"/>
      <c r="J71" s="739"/>
      <c r="K71" s="680"/>
      <c r="L71" s="680"/>
      <c r="M71" s="680"/>
      <c r="N71" s="680"/>
      <c r="O71" s="680"/>
      <c r="P71" s="739"/>
    </row>
    <row r="72" spans="2:16" ht="12.75">
      <c r="B72" s="727"/>
      <c r="C72" s="806"/>
      <c r="D72" s="714"/>
      <c r="E72" s="680"/>
      <c r="F72" s="796"/>
      <c r="G72" s="680"/>
      <c r="H72" s="797"/>
      <c r="I72" s="680"/>
      <c r="J72" s="739"/>
      <c r="K72" s="680"/>
      <c r="L72" s="680"/>
      <c r="M72" s="680"/>
      <c r="N72" s="680"/>
      <c r="O72" s="680"/>
      <c r="P72" s="739"/>
    </row>
    <row r="73" spans="2:16" ht="12.75">
      <c r="B73" s="727"/>
      <c r="C73" s="818" t="str">
        <f>"Transmission Plant @ Beginning of Rate Year ("&amp;'KP TCOS'!L2&amp;") (P. 206, Ln 58(b)):"</f>
        <v>Transmission Plant @ Beginning of Rate Year (2017) (P. 206, Ln 58(b)):</v>
      </c>
      <c r="D73" s="819"/>
      <c r="G73" s="820">
        <f>+'KP WS A  - RB Support '!F18</f>
        <v>570863459</v>
      </c>
      <c r="I73" s="680"/>
      <c r="J73" s="739"/>
      <c r="K73" s="821"/>
      <c r="L73" s="680"/>
      <c r="M73" s="680"/>
      <c r="N73" s="680"/>
      <c r="O73" s="680"/>
      <c r="P73" s="739"/>
    </row>
    <row r="74" spans="2:16" ht="12.75">
      <c r="B74" s="727"/>
      <c r="C74" s="818" t="str">
        <f>"Transmission Plant @ End of Rate Year ("&amp;'KP TCOS'!L2&amp;") (P 207, Ln 58(g)):"</f>
        <v>Transmission Plant @ End of Rate Year (2017) (P 207, Ln 58(g)):</v>
      </c>
      <c r="D74" s="819"/>
      <c r="G74" s="822">
        <f>+'KP WS A  - RB Support '!E18</f>
        <v>586428048</v>
      </c>
      <c r="I74" s="680"/>
      <c r="J74" s="739"/>
      <c r="L74" s="680"/>
      <c r="M74" s="680"/>
      <c r="N74" s="680"/>
      <c r="O74" s="680"/>
      <c r="P74" s="739"/>
    </row>
    <row r="75" spans="2:16" ht="12.75">
      <c r="B75" s="727"/>
      <c r="C75" s="806" t="s">
        <v>598</v>
      </c>
      <c r="D75" s="714"/>
      <c r="G75" s="797">
        <f>+G74+G73</f>
        <v>1157291507</v>
      </c>
      <c r="I75" s="680"/>
      <c r="J75" s="739"/>
      <c r="L75" s="680"/>
      <c r="M75" s="680"/>
      <c r="N75" s="680"/>
      <c r="O75" s="680"/>
      <c r="P75" s="739"/>
    </row>
    <row r="76" spans="2:16" ht="12.75">
      <c r="B76" s="727"/>
      <c r="C76" s="806" t="str">
        <f>+"Average Transmission Plant Balance for "&amp;'KP TCOS'!L2&amp;""</f>
        <v>Average Transmission Plant Balance for 2017</v>
      </c>
      <c r="D76" s="714"/>
      <c r="G76" s="797">
        <f>+G75/2</f>
        <v>578645753.5</v>
      </c>
      <c r="I76" s="680"/>
      <c r="J76" s="739"/>
      <c r="K76" s="821"/>
      <c r="L76" s="680"/>
      <c r="M76" s="680"/>
      <c r="N76" s="680"/>
      <c r="O76" s="680"/>
      <c r="P76" s="739"/>
    </row>
    <row r="77" spans="2:16" ht="12.75">
      <c r="B77" s="727"/>
      <c r="C77" s="818" t="str">
        <f>"Annual Depreciation and Amortization Expense  (TCOS, ln "&amp;'KP TCOS'!B183&amp;")"</f>
        <v>Annual Depreciation and Amortization Expense  (TCOS, ln 112)</v>
      </c>
      <c r="D77" s="714"/>
      <c r="E77" s="680"/>
      <c r="G77" s="820">
        <f>'KP TCOS'!L183</f>
        <v>15375284.193322305</v>
      </c>
      <c r="H77" s="797"/>
      <c r="I77" s="680"/>
      <c r="J77" s="739"/>
      <c r="K77" s="680"/>
      <c r="L77" s="680"/>
      <c r="M77" s="680"/>
      <c r="N77" s="680"/>
      <c r="O77" s="680"/>
      <c r="P77" s="739"/>
    </row>
    <row r="78" spans="2:16" ht="12.75">
      <c r="B78" s="727"/>
      <c r="C78" s="806" t="s">
        <v>344</v>
      </c>
      <c r="D78" s="714"/>
      <c r="E78" s="680"/>
      <c r="G78" s="796">
        <f>+G77/G76</f>
        <v>0.026571151866791164</v>
      </c>
      <c r="H78" s="823"/>
      <c r="I78" s="680"/>
      <c r="J78" s="739"/>
      <c r="K78" s="680"/>
      <c r="L78" s="680"/>
      <c r="M78" s="680"/>
      <c r="N78" s="680"/>
      <c r="O78" s="680"/>
      <c r="P78" s="739"/>
    </row>
    <row r="79" spans="2:16" ht="12.75">
      <c r="B79" s="727"/>
      <c r="C79" s="806" t="s">
        <v>345</v>
      </c>
      <c r="D79" s="714"/>
      <c r="E79" s="680"/>
      <c r="G79" s="823">
        <f>1/G78</f>
        <v>37.634800516488255</v>
      </c>
      <c r="H79" s="797"/>
      <c r="I79" s="680"/>
      <c r="J79" s="739"/>
      <c r="K79" s="680"/>
      <c r="L79" s="680"/>
      <c r="M79" s="680"/>
      <c r="N79" s="680"/>
      <c r="O79" s="680"/>
      <c r="P79" s="739"/>
    </row>
    <row r="80" spans="2:16" ht="12.75">
      <c r="B80" s="727"/>
      <c r="C80" s="806" t="s">
        <v>346</v>
      </c>
      <c r="D80" s="714"/>
      <c r="E80" s="680"/>
      <c r="G80" s="824">
        <f>ROUND(G79,0)</f>
        <v>38</v>
      </c>
      <c r="H80" s="797"/>
      <c r="I80" s="680"/>
      <c r="J80" s="739"/>
      <c r="K80" s="680"/>
      <c r="L80" s="680"/>
      <c r="M80" s="680"/>
      <c r="N80" s="680"/>
      <c r="O80" s="680"/>
      <c r="P80" s="739"/>
    </row>
    <row r="81" spans="2:16" ht="12.75">
      <c r="B81" s="727"/>
      <c r="C81" s="806"/>
      <c r="D81" s="714"/>
      <c r="E81" s="680"/>
      <c r="G81" s="824"/>
      <c r="H81" s="797"/>
      <c r="I81" s="680"/>
      <c r="J81" s="739"/>
      <c r="K81" s="680"/>
      <c r="L81" s="680"/>
      <c r="M81" s="680"/>
      <c r="N81" s="680"/>
      <c r="O81" s="680"/>
      <c r="P81" s="739"/>
    </row>
    <row r="82" spans="1:16" ht="20.25">
      <c r="A82" s="825" t="s">
        <v>840</v>
      </c>
      <c r="C82" s="826"/>
      <c r="D82" s="827"/>
      <c r="E82" s="827"/>
      <c r="F82" s="827"/>
      <c r="G82" s="821"/>
      <c r="H82" s="821"/>
      <c r="I82" s="828"/>
      <c r="J82" s="828"/>
      <c r="K82" s="828"/>
      <c r="L82" s="828"/>
      <c r="M82" s="828"/>
      <c r="N82" s="828"/>
      <c r="O82" s="680"/>
      <c r="P82" s="828"/>
    </row>
    <row r="83" spans="2:16" ht="18.75">
      <c r="B83" s="746" t="s">
        <v>206</v>
      </c>
      <c r="C83" s="829" t="s">
        <v>367</v>
      </c>
      <c r="D83" s="714"/>
      <c r="E83" s="680"/>
      <c r="F83" s="680"/>
      <c r="G83" s="680"/>
      <c r="H83" s="797"/>
      <c r="I83" s="797"/>
      <c r="J83" s="821"/>
      <c r="K83" s="797"/>
      <c r="L83" s="797"/>
      <c r="M83" s="797"/>
      <c r="N83" s="742" t="str">
        <f>"Page "&amp;P83&amp;" of "</f>
        <v>Page 2 of </v>
      </c>
      <c r="O83" s="743">
        <f>COUNT(P$6:P$57923)</f>
        <v>2</v>
      </c>
      <c r="P83" s="680">
        <v>2</v>
      </c>
    </row>
    <row r="84" spans="2:15" ht="18.75">
      <c r="B84" s="746"/>
      <c r="C84" s="745"/>
      <c r="D84" s="714"/>
      <c r="E84" s="680"/>
      <c r="F84" s="680"/>
      <c r="G84" s="680"/>
      <c r="H84" s="797"/>
      <c r="I84" s="797"/>
      <c r="J84" s="821"/>
      <c r="K84" s="797"/>
      <c r="L84" s="797"/>
      <c r="M84" s="797"/>
      <c r="N84" s="797"/>
      <c r="O84" s="680"/>
    </row>
    <row r="85" spans="2:15" ht="18.75">
      <c r="B85" s="746"/>
      <c r="C85" s="745" t="s">
        <v>368</v>
      </c>
      <c r="D85" s="714"/>
      <c r="E85" s="680"/>
      <c r="F85" s="680"/>
      <c r="G85" s="680"/>
      <c r="H85" s="797"/>
      <c r="I85" s="797"/>
      <c r="J85" s="821"/>
      <c r="K85" s="797"/>
      <c r="L85" s="797"/>
      <c r="M85" s="797"/>
      <c r="N85" s="797"/>
      <c r="O85" s="680"/>
    </row>
    <row r="86" spans="2:15" ht="15.75" thickBot="1">
      <c r="B86" s="441"/>
      <c r="C86" s="510"/>
      <c r="D86" s="714"/>
      <c r="E86" s="680"/>
      <c r="F86" s="680"/>
      <c r="G86" s="680"/>
      <c r="H86" s="797"/>
      <c r="I86" s="797"/>
      <c r="J86" s="821"/>
      <c r="K86" s="797"/>
      <c r="L86" s="797"/>
      <c r="M86" s="797"/>
      <c r="N86" s="797"/>
      <c r="O86" s="680"/>
    </row>
    <row r="87" spans="2:15" ht="15.75">
      <c r="B87" s="441"/>
      <c r="C87" s="747" t="s">
        <v>369</v>
      </c>
      <c r="D87" s="714"/>
      <c r="E87" s="680"/>
      <c r="F87" s="680"/>
      <c r="G87" s="1100"/>
      <c r="H87" s="680" t="s">
        <v>347</v>
      </c>
      <c r="I87" s="680"/>
      <c r="J87" s="739"/>
      <c r="K87" s="830" t="s">
        <v>373</v>
      </c>
      <c r="L87" s="831"/>
      <c r="M87" s="832"/>
      <c r="N87" s="833">
        <f>VLOOKUP(I93,C100:O159,5)</f>
        <v>0</v>
      </c>
      <c r="O87" s="680"/>
    </row>
    <row r="88" spans="2:15" ht="15.75">
      <c r="B88" s="441"/>
      <c r="C88" s="747"/>
      <c r="D88" s="714"/>
      <c r="E88" s="680"/>
      <c r="F88" s="680"/>
      <c r="G88" s="680"/>
      <c r="H88" s="834"/>
      <c r="I88" s="834"/>
      <c r="J88" s="835"/>
      <c r="K88" s="836" t="s">
        <v>374</v>
      </c>
      <c r="L88" s="837"/>
      <c r="M88" s="739"/>
      <c r="N88" s="838">
        <f>VLOOKUP(I93,C100:O159,6)</f>
        <v>0</v>
      </c>
      <c r="O88" s="680"/>
    </row>
    <row r="89" spans="2:15" ht="13.5" thickBot="1">
      <c r="B89" s="441"/>
      <c r="C89" s="839" t="s">
        <v>370</v>
      </c>
      <c r="D89" s="1230"/>
      <c r="E89" s="1230"/>
      <c r="F89" s="1230"/>
      <c r="G89" s="1230"/>
      <c r="H89" s="797"/>
      <c r="I89" s="797"/>
      <c r="J89" s="821"/>
      <c r="K89" s="840" t="s">
        <v>576</v>
      </c>
      <c r="L89" s="841"/>
      <c r="M89" s="841"/>
      <c r="N89" s="842">
        <f>+N88-N87</f>
        <v>0</v>
      </c>
      <c r="O89" s="680"/>
    </row>
    <row r="90" spans="2:15" ht="12.75">
      <c r="B90" s="441"/>
      <c r="C90" s="843"/>
      <c r="D90" s="844"/>
      <c r="E90" s="824"/>
      <c r="F90" s="824"/>
      <c r="G90" s="845"/>
      <c r="H90" s="797"/>
      <c r="I90" s="797"/>
      <c r="J90" s="821"/>
      <c r="K90" s="797"/>
      <c r="L90" s="797"/>
      <c r="M90" s="797"/>
      <c r="N90" s="797"/>
      <c r="O90" s="680"/>
    </row>
    <row r="91" spans="2:15" ht="13.5" thickBot="1">
      <c r="B91" s="441"/>
      <c r="C91" s="846"/>
      <c r="D91" s="847"/>
      <c r="E91" s="845"/>
      <c r="F91" s="845"/>
      <c r="G91" s="845"/>
      <c r="H91" s="845"/>
      <c r="I91" s="845"/>
      <c r="J91" s="848"/>
      <c r="K91" s="845"/>
      <c r="L91" s="845"/>
      <c r="M91" s="845"/>
      <c r="N91" s="845"/>
      <c r="O91" s="727"/>
    </row>
    <row r="92" spans="2:15" ht="13.5" thickBot="1">
      <c r="B92" s="441"/>
      <c r="C92" s="849" t="s">
        <v>371</v>
      </c>
      <c r="D92" s="850"/>
      <c r="E92" s="850"/>
      <c r="F92" s="850"/>
      <c r="G92" s="850"/>
      <c r="H92" s="850"/>
      <c r="I92" s="851"/>
      <c r="J92" s="852"/>
      <c r="K92" s="680"/>
      <c r="L92" s="680"/>
      <c r="M92" s="680"/>
      <c r="N92" s="680"/>
      <c r="O92" s="853"/>
    </row>
    <row r="93" spans="2:15" ht="15">
      <c r="B93" s="441"/>
      <c r="C93" s="854" t="s">
        <v>348</v>
      </c>
      <c r="D93" s="1101"/>
      <c r="E93" s="806" t="s">
        <v>349</v>
      </c>
      <c r="G93" s="855"/>
      <c r="H93" s="855"/>
      <c r="I93" s="856">
        <v>2016</v>
      </c>
      <c r="J93" s="737"/>
      <c r="K93" s="1228" t="s">
        <v>585</v>
      </c>
      <c r="L93" s="1228"/>
      <c r="M93" s="1228"/>
      <c r="N93" s="1228"/>
      <c r="O93" s="1228"/>
    </row>
    <row r="94" spans="2:11" ht="12.75">
      <c r="B94" s="441"/>
      <c r="C94" s="854" t="s">
        <v>351</v>
      </c>
      <c r="D94" s="1102">
        <v>2016</v>
      </c>
      <c r="E94" s="854" t="s">
        <v>352</v>
      </c>
      <c r="F94" s="855"/>
      <c r="H94" s="441"/>
      <c r="I94" s="1104">
        <f>IF(G87="",0,$F$15)</f>
        <v>0</v>
      </c>
      <c r="J94" s="857"/>
      <c r="K94" s="821" t="s">
        <v>585</v>
      </c>
    </row>
    <row r="95" spans="2:11" ht="12.75">
      <c r="B95" s="441"/>
      <c r="C95" s="854" t="s">
        <v>353</v>
      </c>
      <c r="D95" s="1101">
        <v>12</v>
      </c>
      <c r="E95" s="854" t="s">
        <v>354</v>
      </c>
      <c r="F95" s="855"/>
      <c r="H95" s="441"/>
      <c r="I95" s="858">
        <f>$G$68</f>
        <v>0.1335915242805714</v>
      </c>
      <c r="J95" s="859"/>
      <c r="K95" s="441" t="str">
        <f>"          INPUT PROJECTED ARR (WITH &amp; WITHOUT INCENTIVES) FROM EACH PRIOR YEAR"</f>
        <v>          INPUT PROJECTED ARR (WITH &amp; WITHOUT INCENTIVES) FROM EACH PRIOR YEAR</v>
      </c>
    </row>
    <row r="96" spans="2:11" ht="12.75">
      <c r="B96" s="441"/>
      <c r="C96" s="854" t="s">
        <v>355</v>
      </c>
      <c r="D96" s="860">
        <f>G$80</f>
        <v>38</v>
      </c>
      <c r="E96" s="854" t="s">
        <v>356</v>
      </c>
      <c r="F96" s="855"/>
      <c r="H96" s="441"/>
      <c r="I96" s="858">
        <f>IF(G87="",I95,$G$67)</f>
        <v>0.1335915242805714</v>
      </c>
      <c r="J96" s="861"/>
      <c r="K96" s="441" t="s">
        <v>452</v>
      </c>
    </row>
    <row r="97" spans="2:15" ht="13.5" thickBot="1">
      <c r="B97" s="441"/>
      <c r="C97" s="854" t="s">
        <v>357</v>
      </c>
      <c r="D97" s="1103" t="s">
        <v>358</v>
      </c>
      <c r="E97" s="862" t="s">
        <v>359</v>
      </c>
      <c r="F97" s="863"/>
      <c r="G97" s="864"/>
      <c r="H97" s="864"/>
      <c r="I97" s="842">
        <f>IF(D93=0,0,D93/D96)</f>
        <v>0</v>
      </c>
      <c r="J97" s="821"/>
      <c r="K97" s="821" t="s">
        <v>460</v>
      </c>
      <c r="L97" s="821"/>
      <c r="M97" s="821"/>
      <c r="N97" s="821"/>
      <c r="O97" s="739"/>
    </row>
    <row r="98" spans="1:15" ht="51">
      <c r="A98" s="659"/>
      <c r="B98" s="659"/>
      <c r="C98" s="865" t="s">
        <v>348</v>
      </c>
      <c r="D98" s="866" t="s">
        <v>360</v>
      </c>
      <c r="E98" s="867" t="s">
        <v>361</v>
      </c>
      <c r="F98" s="866" t="s">
        <v>362</v>
      </c>
      <c r="G98" s="867" t="s">
        <v>451</v>
      </c>
      <c r="H98" s="868" t="s">
        <v>451</v>
      </c>
      <c r="I98" s="865" t="s">
        <v>372</v>
      </c>
      <c r="J98" s="869"/>
      <c r="K98" s="867" t="s">
        <v>462</v>
      </c>
      <c r="L98" s="870"/>
      <c r="M98" s="867" t="s">
        <v>462</v>
      </c>
      <c r="N98" s="870"/>
      <c r="O98" s="870"/>
    </row>
    <row r="99" spans="2:15" ht="13.5" thickBot="1">
      <c r="B99" s="441"/>
      <c r="C99" s="871" t="s">
        <v>210</v>
      </c>
      <c r="D99" s="872" t="s">
        <v>211</v>
      </c>
      <c r="E99" s="871" t="s">
        <v>63</v>
      </c>
      <c r="F99" s="872" t="s">
        <v>211</v>
      </c>
      <c r="G99" s="873" t="s">
        <v>375</v>
      </c>
      <c r="H99" s="874" t="s">
        <v>377</v>
      </c>
      <c r="I99" s="875" t="s">
        <v>494</v>
      </c>
      <c r="J99" s="876"/>
      <c r="K99" s="873" t="s">
        <v>364</v>
      </c>
      <c r="L99" s="877"/>
      <c r="M99" s="873" t="s">
        <v>377</v>
      </c>
      <c r="N99" s="877"/>
      <c r="O99" s="877"/>
    </row>
    <row r="100" spans="2:15" ht="12.75">
      <c r="B100" s="441"/>
      <c r="C100" s="878">
        <f>IF(D94="","-",D94)</f>
        <v>2016</v>
      </c>
      <c r="D100" s="827">
        <f>+D93</f>
        <v>0</v>
      </c>
      <c r="E100" s="879">
        <f>+I97/12*(12-D95)</f>
        <v>0</v>
      </c>
      <c r="F100" s="827">
        <f aca="true" t="shared" si="0" ref="F100:F159">+D100-E100</f>
        <v>0</v>
      </c>
      <c r="G100" s="1171">
        <f>+$I$95*((D100+F100)/2)+E100</f>
        <v>0</v>
      </c>
      <c r="H100" s="1172">
        <f>+$I$96*((D100+F100)/2)+E100</f>
        <v>0</v>
      </c>
      <c r="I100" s="882">
        <f>+H100-G100</f>
        <v>0</v>
      </c>
      <c r="J100" s="882"/>
      <c r="K100" s="1105"/>
      <c r="L100" s="883"/>
      <c r="M100" s="1105"/>
      <c r="N100" s="883"/>
      <c r="O100" s="883"/>
    </row>
    <row r="101" spans="2:15" ht="12.75">
      <c r="B101" s="441"/>
      <c r="C101" s="878">
        <f>IF(D94="","-",+C100+1)</f>
        <v>2017</v>
      </c>
      <c r="D101" s="827">
        <f aca="true" t="shared" si="1" ref="D101:D159">F100</f>
        <v>0</v>
      </c>
      <c r="E101" s="884">
        <f>IF(D101&gt;$I$97,$I$97,D101)</f>
        <v>0</v>
      </c>
      <c r="F101" s="827">
        <f t="shared" si="0"/>
        <v>0</v>
      </c>
      <c r="G101" s="879">
        <f aca="true" t="shared" si="2" ref="G101:G159">+$I$95*((D101+F101)/2)+E101</f>
        <v>0</v>
      </c>
      <c r="H101" s="885">
        <f aca="true" t="shared" si="3" ref="H101:H159">+$I$96*((D101+F101)/2)+E101</f>
        <v>0</v>
      </c>
      <c r="I101" s="882">
        <f aca="true" t="shared" si="4" ref="I101:I159">+H101-G101</f>
        <v>0</v>
      </c>
      <c r="J101" s="882"/>
      <c r="K101" s="1106"/>
      <c r="L101" s="886"/>
      <c r="M101" s="1106"/>
      <c r="N101" s="886"/>
      <c r="O101" s="886"/>
    </row>
    <row r="102" spans="2:15" ht="12.75">
      <c r="B102" s="441"/>
      <c r="C102" s="878">
        <f>IF(D94="","-",+C101+1)</f>
        <v>2018</v>
      </c>
      <c r="D102" s="827">
        <f t="shared" si="1"/>
        <v>0</v>
      </c>
      <c r="E102" s="884">
        <f aca="true" t="shared" si="5" ref="E102:E159">IF(D102&gt;$I$97,$I$97,D102)</f>
        <v>0</v>
      </c>
      <c r="F102" s="827">
        <f t="shared" si="0"/>
        <v>0</v>
      </c>
      <c r="G102" s="879">
        <f t="shared" si="2"/>
        <v>0</v>
      </c>
      <c r="H102" s="885">
        <f t="shared" si="3"/>
        <v>0</v>
      </c>
      <c r="I102" s="882">
        <f t="shared" si="4"/>
        <v>0</v>
      </c>
      <c r="J102" s="882"/>
      <c r="K102" s="1106"/>
      <c r="L102" s="886"/>
      <c r="M102" s="1106"/>
      <c r="N102" s="886"/>
      <c r="O102" s="886"/>
    </row>
    <row r="103" spans="2:15" ht="12.75">
      <c r="B103" s="441"/>
      <c r="C103" s="878">
        <f>IF(D94="","-",+C102+1)</f>
        <v>2019</v>
      </c>
      <c r="D103" s="827">
        <f t="shared" si="1"/>
        <v>0</v>
      </c>
      <c r="E103" s="884">
        <f t="shared" si="5"/>
        <v>0</v>
      </c>
      <c r="F103" s="827">
        <f t="shared" si="0"/>
        <v>0</v>
      </c>
      <c r="G103" s="879">
        <f t="shared" si="2"/>
        <v>0</v>
      </c>
      <c r="H103" s="885">
        <f t="shared" si="3"/>
        <v>0</v>
      </c>
      <c r="I103" s="882">
        <f t="shared" si="4"/>
        <v>0</v>
      </c>
      <c r="J103" s="882"/>
      <c r="K103" s="1106"/>
      <c r="L103" s="886"/>
      <c r="M103" s="1106"/>
      <c r="N103" s="886"/>
      <c r="O103" s="886"/>
    </row>
    <row r="104" spans="2:15" ht="12.75">
      <c r="B104" s="441"/>
      <c r="C104" s="878">
        <f>IF(D94="","-",+C103+1)</f>
        <v>2020</v>
      </c>
      <c r="D104" s="827">
        <f t="shared" si="1"/>
        <v>0</v>
      </c>
      <c r="E104" s="884">
        <f t="shared" si="5"/>
        <v>0</v>
      </c>
      <c r="F104" s="827">
        <f t="shared" si="0"/>
        <v>0</v>
      </c>
      <c r="G104" s="879">
        <f t="shared" si="2"/>
        <v>0</v>
      </c>
      <c r="H104" s="885">
        <f t="shared" si="3"/>
        <v>0</v>
      </c>
      <c r="I104" s="882">
        <f t="shared" si="4"/>
        <v>0</v>
      </c>
      <c r="J104" s="882"/>
      <c r="K104" s="1106"/>
      <c r="L104" s="886"/>
      <c r="M104" s="1106"/>
      <c r="N104" s="886"/>
      <c r="O104" s="886"/>
    </row>
    <row r="105" spans="2:15" ht="12.75">
      <c r="B105" s="441"/>
      <c r="C105" s="878">
        <f>IF(D94="","-",+C104+1)</f>
        <v>2021</v>
      </c>
      <c r="D105" s="827">
        <f t="shared" si="1"/>
        <v>0</v>
      </c>
      <c r="E105" s="884">
        <f t="shared" si="5"/>
        <v>0</v>
      </c>
      <c r="F105" s="827">
        <f t="shared" si="0"/>
        <v>0</v>
      </c>
      <c r="G105" s="879">
        <f t="shared" si="2"/>
        <v>0</v>
      </c>
      <c r="H105" s="885">
        <f t="shared" si="3"/>
        <v>0</v>
      </c>
      <c r="I105" s="882">
        <f t="shared" si="4"/>
        <v>0</v>
      </c>
      <c r="J105" s="882"/>
      <c r="K105" s="1106"/>
      <c r="L105" s="886"/>
      <c r="M105" s="1106"/>
      <c r="N105" s="886"/>
      <c r="O105" s="886"/>
    </row>
    <row r="106" spans="2:15" ht="12.75">
      <c r="B106" s="441"/>
      <c r="C106" s="878">
        <f>IF(D94="","-",+C105+1)</f>
        <v>2022</v>
      </c>
      <c r="D106" s="827">
        <f t="shared" si="1"/>
        <v>0</v>
      </c>
      <c r="E106" s="884">
        <f t="shared" si="5"/>
        <v>0</v>
      </c>
      <c r="F106" s="827">
        <f t="shared" si="0"/>
        <v>0</v>
      </c>
      <c r="G106" s="879">
        <f t="shared" si="2"/>
        <v>0</v>
      </c>
      <c r="H106" s="885">
        <f t="shared" si="3"/>
        <v>0</v>
      </c>
      <c r="I106" s="882">
        <f t="shared" si="4"/>
        <v>0</v>
      </c>
      <c r="J106" s="882"/>
      <c r="K106" s="1106"/>
      <c r="L106" s="886"/>
      <c r="M106" s="1106"/>
      <c r="N106" s="886"/>
      <c r="O106" s="886"/>
    </row>
    <row r="107" spans="2:15" ht="12.75">
      <c r="B107" s="441"/>
      <c r="C107" s="878">
        <f>IF(D94="","-",+C106+1)</f>
        <v>2023</v>
      </c>
      <c r="D107" s="827">
        <f t="shared" si="1"/>
        <v>0</v>
      </c>
      <c r="E107" s="884">
        <f t="shared" si="5"/>
        <v>0</v>
      </c>
      <c r="F107" s="827">
        <f t="shared" si="0"/>
        <v>0</v>
      </c>
      <c r="G107" s="879">
        <f t="shared" si="2"/>
        <v>0</v>
      </c>
      <c r="H107" s="885">
        <f t="shared" si="3"/>
        <v>0</v>
      </c>
      <c r="I107" s="882">
        <f t="shared" si="4"/>
        <v>0</v>
      </c>
      <c r="J107" s="882"/>
      <c r="K107" s="1106"/>
      <c r="L107" s="886"/>
      <c r="M107" s="1106"/>
      <c r="N107" s="886"/>
      <c r="O107" s="886"/>
    </row>
    <row r="108" spans="2:15" ht="12.75">
      <c r="B108" s="441"/>
      <c r="C108" s="878">
        <f>IF(D94="","-",+C107+1)</f>
        <v>2024</v>
      </c>
      <c r="D108" s="827">
        <f t="shared" si="1"/>
        <v>0</v>
      </c>
      <c r="E108" s="884">
        <f t="shared" si="5"/>
        <v>0</v>
      </c>
      <c r="F108" s="827">
        <f t="shared" si="0"/>
        <v>0</v>
      </c>
      <c r="G108" s="879">
        <f t="shared" si="2"/>
        <v>0</v>
      </c>
      <c r="H108" s="885">
        <f t="shared" si="3"/>
        <v>0</v>
      </c>
      <c r="I108" s="882">
        <f t="shared" si="4"/>
        <v>0</v>
      </c>
      <c r="J108" s="882"/>
      <c r="K108" s="1106"/>
      <c r="L108" s="886"/>
      <c r="M108" s="1106"/>
      <c r="N108" s="886"/>
      <c r="O108" s="886"/>
    </row>
    <row r="109" spans="2:15" ht="12.75">
      <c r="B109" s="441"/>
      <c r="C109" s="878">
        <f>IF(D94="","-",+C108+1)</f>
        <v>2025</v>
      </c>
      <c r="D109" s="827">
        <f t="shared" si="1"/>
        <v>0</v>
      </c>
      <c r="E109" s="884">
        <f t="shared" si="5"/>
        <v>0</v>
      </c>
      <c r="F109" s="827">
        <f t="shared" si="0"/>
        <v>0</v>
      </c>
      <c r="G109" s="879">
        <f t="shared" si="2"/>
        <v>0</v>
      </c>
      <c r="H109" s="885">
        <f t="shared" si="3"/>
        <v>0</v>
      </c>
      <c r="I109" s="882">
        <f t="shared" si="4"/>
        <v>0</v>
      </c>
      <c r="J109" s="882"/>
      <c r="K109" s="1106"/>
      <c r="L109" s="886"/>
      <c r="M109" s="1106"/>
      <c r="N109" s="886"/>
      <c r="O109" s="886"/>
    </row>
    <row r="110" spans="2:15" ht="12.75">
      <c r="B110" s="441"/>
      <c r="C110" s="878">
        <f>IF(D94="","-",+C109+1)</f>
        <v>2026</v>
      </c>
      <c r="D110" s="827">
        <f t="shared" si="1"/>
        <v>0</v>
      </c>
      <c r="E110" s="884">
        <f t="shared" si="5"/>
        <v>0</v>
      </c>
      <c r="F110" s="827">
        <f t="shared" si="0"/>
        <v>0</v>
      </c>
      <c r="G110" s="879">
        <f t="shared" si="2"/>
        <v>0</v>
      </c>
      <c r="H110" s="885">
        <f t="shared" si="3"/>
        <v>0</v>
      </c>
      <c r="I110" s="882">
        <f t="shared" si="4"/>
        <v>0</v>
      </c>
      <c r="J110" s="882"/>
      <c r="K110" s="1106"/>
      <c r="L110" s="886"/>
      <c r="M110" s="1106"/>
      <c r="N110" s="886"/>
      <c r="O110" s="886"/>
    </row>
    <row r="111" spans="2:15" ht="12.75">
      <c r="B111" s="441"/>
      <c r="C111" s="878">
        <f>IF(D94="","-",+C110+1)</f>
        <v>2027</v>
      </c>
      <c r="D111" s="827">
        <f t="shared" si="1"/>
        <v>0</v>
      </c>
      <c r="E111" s="884">
        <f t="shared" si="5"/>
        <v>0</v>
      </c>
      <c r="F111" s="827">
        <f t="shared" si="0"/>
        <v>0</v>
      </c>
      <c r="G111" s="879">
        <f t="shared" si="2"/>
        <v>0</v>
      </c>
      <c r="H111" s="885">
        <f t="shared" si="3"/>
        <v>0</v>
      </c>
      <c r="I111" s="882">
        <f t="shared" si="4"/>
        <v>0</v>
      </c>
      <c r="J111" s="882"/>
      <c r="K111" s="1106"/>
      <c r="L111" s="886"/>
      <c r="M111" s="1106"/>
      <c r="N111" s="886"/>
      <c r="O111" s="886"/>
    </row>
    <row r="112" spans="2:15" ht="12.75">
      <c r="B112" s="441"/>
      <c r="C112" s="878">
        <f>IF(D94="","-",+C111+1)</f>
        <v>2028</v>
      </c>
      <c r="D112" s="827">
        <f t="shared" si="1"/>
        <v>0</v>
      </c>
      <c r="E112" s="884">
        <f t="shared" si="5"/>
        <v>0</v>
      </c>
      <c r="F112" s="827">
        <f t="shared" si="0"/>
        <v>0</v>
      </c>
      <c r="G112" s="879">
        <f t="shared" si="2"/>
        <v>0</v>
      </c>
      <c r="H112" s="885">
        <f t="shared" si="3"/>
        <v>0</v>
      </c>
      <c r="I112" s="882">
        <f t="shared" si="4"/>
        <v>0</v>
      </c>
      <c r="J112" s="882"/>
      <c r="K112" s="1106"/>
      <c r="L112" s="886"/>
      <c r="M112" s="1106"/>
      <c r="N112" s="886"/>
      <c r="O112" s="886"/>
    </row>
    <row r="113" spans="2:15" ht="12.75">
      <c r="B113" s="441"/>
      <c r="C113" s="878">
        <f>IF(D94="","-",+C112+1)</f>
        <v>2029</v>
      </c>
      <c r="D113" s="827">
        <f t="shared" si="1"/>
        <v>0</v>
      </c>
      <c r="E113" s="884">
        <f t="shared" si="5"/>
        <v>0</v>
      </c>
      <c r="F113" s="827">
        <f t="shared" si="0"/>
        <v>0</v>
      </c>
      <c r="G113" s="879">
        <f t="shared" si="2"/>
        <v>0</v>
      </c>
      <c r="H113" s="885">
        <f t="shared" si="3"/>
        <v>0</v>
      </c>
      <c r="I113" s="882">
        <f t="shared" si="4"/>
        <v>0</v>
      </c>
      <c r="J113" s="882"/>
      <c r="K113" s="1106"/>
      <c r="L113" s="886"/>
      <c r="M113" s="1106"/>
      <c r="N113" s="886"/>
      <c r="O113" s="886"/>
    </row>
    <row r="114" spans="2:15" ht="12.75">
      <c r="B114" s="441"/>
      <c r="C114" s="878">
        <f>IF(D94="","-",+C113+1)</f>
        <v>2030</v>
      </c>
      <c r="D114" s="827">
        <f t="shared" si="1"/>
        <v>0</v>
      </c>
      <c r="E114" s="884">
        <f t="shared" si="5"/>
        <v>0</v>
      </c>
      <c r="F114" s="827">
        <f t="shared" si="0"/>
        <v>0</v>
      </c>
      <c r="G114" s="879">
        <f t="shared" si="2"/>
        <v>0</v>
      </c>
      <c r="H114" s="885">
        <f t="shared" si="3"/>
        <v>0</v>
      </c>
      <c r="I114" s="882">
        <f t="shared" si="4"/>
        <v>0</v>
      </c>
      <c r="J114" s="882"/>
      <c r="K114" s="1106"/>
      <c r="L114" s="886"/>
      <c r="M114" s="1106"/>
      <c r="N114" s="886"/>
      <c r="O114" s="886"/>
    </row>
    <row r="115" spans="2:15" ht="12.75">
      <c r="B115" s="441"/>
      <c r="C115" s="878">
        <f>IF(D94="","-",+C114+1)</f>
        <v>2031</v>
      </c>
      <c r="D115" s="827">
        <f t="shared" si="1"/>
        <v>0</v>
      </c>
      <c r="E115" s="884">
        <f t="shared" si="5"/>
        <v>0</v>
      </c>
      <c r="F115" s="827">
        <f t="shared" si="0"/>
        <v>0</v>
      </c>
      <c r="G115" s="879">
        <f t="shared" si="2"/>
        <v>0</v>
      </c>
      <c r="H115" s="885">
        <f t="shared" si="3"/>
        <v>0</v>
      </c>
      <c r="I115" s="882">
        <f t="shared" si="4"/>
        <v>0</v>
      </c>
      <c r="J115" s="882"/>
      <c r="K115" s="1106"/>
      <c r="L115" s="886"/>
      <c r="M115" s="1106"/>
      <c r="N115" s="886"/>
      <c r="O115" s="886"/>
    </row>
    <row r="116" spans="2:15" ht="12.75">
      <c r="B116" s="441"/>
      <c r="C116" s="878">
        <f>IF(D94="","-",+C115+1)</f>
        <v>2032</v>
      </c>
      <c r="D116" s="827">
        <f t="shared" si="1"/>
        <v>0</v>
      </c>
      <c r="E116" s="884">
        <f t="shared" si="5"/>
        <v>0</v>
      </c>
      <c r="F116" s="827">
        <f t="shared" si="0"/>
        <v>0</v>
      </c>
      <c r="G116" s="879">
        <f t="shared" si="2"/>
        <v>0</v>
      </c>
      <c r="H116" s="885">
        <f t="shared" si="3"/>
        <v>0</v>
      </c>
      <c r="I116" s="882">
        <f t="shared" si="4"/>
        <v>0</v>
      </c>
      <c r="J116" s="882"/>
      <c r="K116" s="1106"/>
      <c r="L116" s="886"/>
      <c r="M116" s="1106"/>
      <c r="N116" s="886"/>
      <c r="O116" s="886"/>
    </row>
    <row r="117" spans="2:15" ht="12.75">
      <c r="B117" s="441"/>
      <c r="C117" s="878">
        <f>IF(D94="","-",+C116+1)</f>
        <v>2033</v>
      </c>
      <c r="D117" s="827">
        <f t="shared" si="1"/>
        <v>0</v>
      </c>
      <c r="E117" s="884">
        <f t="shared" si="5"/>
        <v>0</v>
      </c>
      <c r="F117" s="827">
        <f t="shared" si="0"/>
        <v>0</v>
      </c>
      <c r="G117" s="879">
        <f t="shared" si="2"/>
        <v>0</v>
      </c>
      <c r="H117" s="885">
        <f t="shared" si="3"/>
        <v>0</v>
      </c>
      <c r="I117" s="882">
        <f t="shared" si="4"/>
        <v>0</v>
      </c>
      <c r="J117" s="882"/>
      <c r="K117" s="1106"/>
      <c r="L117" s="886"/>
      <c r="M117" s="1106"/>
      <c r="N117" s="886"/>
      <c r="O117" s="886"/>
    </row>
    <row r="118" spans="2:15" ht="12.75">
      <c r="B118" s="441"/>
      <c r="C118" s="878">
        <f>IF(D94="","-",+C117+1)</f>
        <v>2034</v>
      </c>
      <c r="D118" s="827">
        <f t="shared" si="1"/>
        <v>0</v>
      </c>
      <c r="E118" s="884">
        <f t="shared" si="5"/>
        <v>0</v>
      </c>
      <c r="F118" s="827">
        <f t="shared" si="0"/>
        <v>0</v>
      </c>
      <c r="G118" s="879">
        <f t="shared" si="2"/>
        <v>0</v>
      </c>
      <c r="H118" s="885">
        <f t="shared" si="3"/>
        <v>0</v>
      </c>
      <c r="I118" s="882">
        <f t="shared" si="4"/>
        <v>0</v>
      </c>
      <c r="J118" s="882"/>
      <c r="K118" s="1106"/>
      <c r="L118" s="886"/>
      <c r="M118" s="1106"/>
      <c r="N118" s="886"/>
      <c r="O118" s="886"/>
    </row>
    <row r="119" spans="2:15" ht="12.75">
      <c r="B119" s="441"/>
      <c r="C119" s="878">
        <f>IF(D94="","-",+C118+1)</f>
        <v>2035</v>
      </c>
      <c r="D119" s="827">
        <f t="shared" si="1"/>
        <v>0</v>
      </c>
      <c r="E119" s="884">
        <f t="shared" si="5"/>
        <v>0</v>
      </c>
      <c r="F119" s="827">
        <f t="shared" si="0"/>
        <v>0</v>
      </c>
      <c r="G119" s="879">
        <f t="shared" si="2"/>
        <v>0</v>
      </c>
      <c r="H119" s="885">
        <f t="shared" si="3"/>
        <v>0</v>
      </c>
      <c r="I119" s="882">
        <f t="shared" si="4"/>
        <v>0</v>
      </c>
      <c r="J119" s="882"/>
      <c r="K119" s="1106"/>
      <c r="L119" s="886"/>
      <c r="M119" s="1106"/>
      <c r="N119" s="886"/>
      <c r="O119" s="886"/>
    </row>
    <row r="120" spans="2:15" ht="12.75">
      <c r="B120" s="441"/>
      <c r="C120" s="878">
        <f>IF(D94="","-",+C119+1)</f>
        <v>2036</v>
      </c>
      <c r="D120" s="827">
        <f t="shared" si="1"/>
        <v>0</v>
      </c>
      <c r="E120" s="884">
        <f t="shared" si="5"/>
        <v>0</v>
      </c>
      <c r="F120" s="827">
        <f t="shared" si="0"/>
        <v>0</v>
      </c>
      <c r="G120" s="879">
        <f t="shared" si="2"/>
        <v>0</v>
      </c>
      <c r="H120" s="885">
        <f t="shared" si="3"/>
        <v>0</v>
      </c>
      <c r="I120" s="882">
        <f t="shared" si="4"/>
        <v>0</v>
      </c>
      <c r="J120" s="882"/>
      <c r="K120" s="1106"/>
      <c r="L120" s="886"/>
      <c r="M120" s="1106"/>
      <c r="N120" s="886"/>
      <c r="O120" s="886"/>
    </row>
    <row r="121" spans="2:15" ht="12.75">
      <c r="B121" s="441"/>
      <c r="C121" s="878">
        <f>IF(D94="","-",+C120+1)</f>
        <v>2037</v>
      </c>
      <c r="D121" s="827">
        <f t="shared" si="1"/>
        <v>0</v>
      </c>
      <c r="E121" s="884">
        <f t="shared" si="5"/>
        <v>0</v>
      </c>
      <c r="F121" s="827">
        <f t="shared" si="0"/>
        <v>0</v>
      </c>
      <c r="G121" s="879">
        <f t="shared" si="2"/>
        <v>0</v>
      </c>
      <c r="H121" s="885">
        <f t="shared" si="3"/>
        <v>0</v>
      </c>
      <c r="I121" s="882">
        <f t="shared" si="4"/>
        <v>0</v>
      </c>
      <c r="J121" s="882"/>
      <c r="K121" s="1106"/>
      <c r="L121" s="886"/>
      <c r="M121" s="1106"/>
      <c r="N121" s="886"/>
      <c r="O121" s="886"/>
    </row>
    <row r="122" spans="2:15" ht="12.75">
      <c r="B122" s="441"/>
      <c r="C122" s="878">
        <f>IF(D94="","-",+C121+1)</f>
        <v>2038</v>
      </c>
      <c r="D122" s="827">
        <f t="shared" si="1"/>
        <v>0</v>
      </c>
      <c r="E122" s="884">
        <f t="shared" si="5"/>
        <v>0</v>
      </c>
      <c r="F122" s="827">
        <f t="shared" si="0"/>
        <v>0</v>
      </c>
      <c r="G122" s="879">
        <f t="shared" si="2"/>
        <v>0</v>
      </c>
      <c r="H122" s="885">
        <f t="shared" si="3"/>
        <v>0</v>
      </c>
      <c r="I122" s="882">
        <f t="shared" si="4"/>
        <v>0</v>
      </c>
      <c r="J122" s="882"/>
      <c r="K122" s="1106"/>
      <c r="L122" s="886"/>
      <c r="M122" s="1106"/>
      <c r="N122" s="886"/>
      <c r="O122" s="886"/>
    </row>
    <row r="123" spans="2:15" ht="12.75">
      <c r="B123" s="441"/>
      <c r="C123" s="878">
        <f>IF(D94="","-",+C122+1)</f>
        <v>2039</v>
      </c>
      <c r="D123" s="827">
        <f t="shared" si="1"/>
        <v>0</v>
      </c>
      <c r="E123" s="884">
        <f t="shared" si="5"/>
        <v>0</v>
      </c>
      <c r="F123" s="827">
        <f t="shared" si="0"/>
        <v>0</v>
      </c>
      <c r="G123" s="879">
        <f t="shared" si="2"/>
        <v>0</v>
      </c>
      <c r="H123" s="885">
        <f t="shared" si="3"/>
        <v>0</v>
      </c>
      <c r="I123" s="882">
        <f t="shared" si="4"/>
        <v>0</v>
      </c>
      <c r="J123" s="882"/>
      <c r="K123" s="1106"/>
      <c r="L123" s="886"/>
      <c r="M123" s="1106"/>
      <c r="N123" s="886"/>
      <c r="O123" s="886"/>
    </row>
    <row r="124" spans="2:15" ht="12.75">
      <c r="B124" s="441"/>
      <c r="C124" s="878">
        <f>IF(D94="","-",+C123+1)</f>
        <v>2040</v>
      </c>
      <c r="D124" s="827">
        <f t="shared" si="1"/>
        <v>0</v>
      </c>
      <c r="E124" s="884">
        <f t="shared" si="5"/>
        <v>0</v>
      </c>
      <c r="F124" s="827">
        <f t="shared" si="0"/>
        <v>0</v>
      </c>
      <c r="G124" s="879">
        <f t="shared" si="2"/>
        <v>0</v>
      </c>
      <c r="H124" s="885">
        <f t="shared" si="3"/>
        <v>0</v>
      </c>
      <c r="I124" s="882">
        <f t="shared" si="4"/>
        <v>0</v>
      </c>
      <c r="J124" s="882"/>
      <c r="K124" s="1106"/>
      <c r="L124" s="886"/>
      <c r="M124" s="1106"/>
      <c r="N124" s="886"/>
      <c r="O124" s="886"/>
    </row>
    <row r="125" spans="2:15" ht="12.75">
      <c r="B125" s="441"/>
      <c r="C125" s="878">
        <f>IF(D94="","-",+C124+1)</f>
        <v>2041</v>
      </c>
      <c r="D125" s="827">
        <f t="shared" si="1"/>
        <v>0</v>
      </c>
      <c r="E125" s="884">
        <f t="shared" si="5"/>
        <v>0</v>
      </c>
      <c r="F125" s="827">
        <f t="shared" si="0"/>
        <v>0</v>
      </c>
      <c r="G125" s="879">
        <f t="shared" si="2"/>
        <v>0</v>
      </c>
      <c r="H125" s="885">
        <f t="shared" si="3"/>
        <v>0</v>
      </c>
      <c r="I125" s="882">
        <f t="shared" si="4"/>
        <v>0</v>
      </c>
      <c r="J125" s="882"/>
      <c r="K125" s="1106"/>
      <c r="L125" s="886"/>
      <c r="M125" s="1106"/>
      <c r="N125" s="886"/>
      <c r="O125" s="886"/>
    </row>
    <row r="126" spans="2:15" ht="12.75">
      <c r="B126" s="441"/>
      <c r="C126" s="878">
        <f>IF(D94="","-",+C125+1)</f>
        <v>2042</v>
      </c>
      <c r="D126" s="827">
        <f t="shared" si="1"/>
        <v>0</v>
      </c>
      <c r="E126" s="884">
        <f t="shared" si="5"/>
        <v>0</v>
      </c>
      <c r="F126" s="827">
        <f t="shared" si="0"/>
        <v>0</v>
      </c>
      <c r="G126" s="879">
        <f t="shared" si="2"/>
        <v>0</v>
      </c>
      <c r="H126" s="885">
        <f t="shared" si="3"/>
        <v>0</v>
      </c>
      <c r="I126" s="882">
        <f t="shared" si="4"/>
        <v>0</v>
      </c>
      <c r="J126" s="882"/>
      <c r="K126" s="1106"/>
      <c r="L126" s="886"/>
      <c r="M126" s="1106"/>
      <c r="N126" s="886"/>
      <c r="O126" s="886"/>
    </row>
    <row r="127" spans="2:15" ht="12.75">
      <c r="B127" s="441"/>
      <c r="C127" s="878">
        <f>IF(D94="","-",+C126+1)</f>
        <v>2043</v>
      </c>
      <c r="D127" s="827">
        <f t="shared" si="1"/>
        <v>0</v>
      </c>
      <c r="E127" s="884">
        <f t="shared" si="5"/>
        <v>0</v>
      </c>
      <c r="F127" s="827">
        <f t="shared" si="0"/>
        <v>0</v>
      </c>
      <c r="G127" s="879">
        <f t="shared" si="2"/>
        <v>0</v>
      </c>
      <c r="H127" s="885">
        <f t="shared" si="3"/>
        <v>0</v>
      </c>
      <c r="I127" s="882">
        <f t="shared" si="4"/>
        <v>0</v>
      </c>
      <c r="J127" s="882"/>
      <c r="K127" s="1106"/>
      <c r="L127" s="886"/>
      <c r="M127" s="1106"/>
      <c r="N127" s="886"/>
      <c r="O127" s="886"/>
    </row>
    <row r="128" spans="2:15" ht="12.75">
      <c r="B128" s="441"/>
      <c r="C128" s="878">
        <f>IF(D94="","-",+C127+1)</f>
        <v>2044</v>
      </c>
      <c r="D128" s="827">
        <f t="shared" si="1"/>
        <v>0</v>
      </c>
      <c r="E128" s="884">
        <f t="shared" si="5"/>
        <v>0</v>
      </c>
      <c r="F128" s="827">
        <f t="shared" si="0"/>
        <v>0</v>
      </c>
      <c r="G128" s="880">
        <f t="shared" si="2"/>
        <v>0</v>
      </c>
      <c r="H128" s="885">
        <f t="shared" si="3"/>
        <v>0</v>
      </c>
      <c r="I128" s="882">
        <f t="shared" si="4"/>
        <v>0</v>
      </c>
      <c r="J128" s="882"/>
      <c r="K128" s="1106"/>
      <c r="L128" s="886"/>
      <c r="M128" s="1106"/>
      <c r="N128" s="886"/>
      <c r="O128" s="886"/>
    </row>
    <row r="129" spans="2:15" ht="12.75">
      <c r="B129" s="441"/>
      <c r="C129" s="878">
        <f>IF(D94="","-",+C128+1)</f>
        <v>2045</v>
      </c>
      <c r="D129" s="827">
        <f t="shared" si="1"/>
        <v>0</v>
      </c>
      <c r="E129" s="884">
        <f t="shared" si="5"/>
        <v>0</v>
      </c>
      <c r="F129" s="827">
        <f t="shared" si="0"/>
        <v>0</v>
      </c>
      <c r="G129" s="879">
        <f t="shared" si="2"/>
        <v>0</v>
      </c>
      <c r="H129" s="885">
        <f t="shared" si="3"/>
        <v>0</v>
      </c>
      <c r="I129" s="882">
        <f t="shared" si="4"/>
        <v>0</v>
      </c>
      <c r="J129" s="882"/>
      <c r="K129" s="1106"/>
      <c r="L129" s="886"/>
      <c r="M129" s="1106"/>
      <c r="N129" s="886"/>
      <c r="O129" s="886"/>
    </row>
    <row r="130" spans="2:15" ht="12.75">
      <c r="B130" s="441"/>
      <c r="C130" s="878">
        <f>IF(D94="","-",+C129+1)</f>
        <v>2046</v>
      </c>
      <c r="D130" s="827">
        <f t="shared" si="1"/>
        <v>0</v>
      </c>
      <c r="E130" s="884">
        <f t="shared" si="5"/>
        <v>0</v>
      </c>
      <c r="F130" s="827">
        <f t="shared" si="0"/>
        <v>0</v>
      </c>
      <c r="G130" s="879">
        <f t="shared" si="2"/>
        <v>0</v>
      </c>
      <c r="H130" s="885">
        <f t="shared" si="3"/>
        <v>0</v>
      </c>
      <c r="I130" s="882">
        <f t="shared" si="4"/>
        <v>0</v>
      </c>
      <c r="J130" s="882"/>
      <c r="K130" s="1106"/>
      <c r="L130" s="886"/>
      <c r="M130" s="1106"/>
      <c r="N130" s="886"/>
      <c r="O130" s="886"/>
    </row>
    <row r="131" spans="2:15" ht="12.75">
      <c r="B131" s="441"/>
      <c r="C131" s="878">
        <f>IF(D94="","-",+C130+1)</f>
        <v>2047</v>
      </c>
      <c r="D131" s="827">
        <f t="shared" si="1"/>
        <v>0</v>
      </c>
      <c r="E131" s="884">
        <f t="shared" si="5"/>
        <v>0</v>
      </c>
      <c r="F131" s="827">
        <f t="shared" si="0"/>
        <v>0</v>
      </c>
      <c r="G131" s="879">
        <f t="shared" si="2"/>
        <v>0</v>
      </c>
      <c r="H131" s="885">
        <f t="shared" si="3"/>
        <v>0</v>
      </c>
      <c r="I131" s="882">
        <f t="shared" si="4"/>
        <v>0</v>
      </c>
      <c r="J131" s="882"/>
      <c r="K131" s="1106"/>
      <c r="L131" s="886"/>
      <c r="M131" s="1106"/>
      <c r="N131" s="886"/>
      <c r="O131" s="886"/>
    </row>
    <row r="132" spans="2:15" ht="12.75">
      <c r="B132" s="441"/>
      <c r="C132" s="878">
        <f>IF(D94="","-",+C131+1)</f>
        <v>2048</v>
      </c>
      <c r="D132" s="827">
        <f t="shared" si="1"/>
        <v>0</v>
      </c>
      <c r="E132" s="884">
        <f t="shared" si="5"/>
        <v>0</v>
      </c>
      <c r="F132" s="827">
        <f t="shared" si="0"/>
        <v>0</v>
      </c>
      <c r="G132" s="879">
        <f t="shared" si="2"/>
        <v>0</v>
      </c>
      <c r="H132" s="885">
        <f t="shared" si="3"/>
        <v>0</v>
      </c>
      <c r="I132" s="882">
        <f t="shared" si="4"/>
        <v>0</v>
      </c>
      <c r="J132" s="882"/>
      <c r="K132" s="1106"/>
      <c r="L132" s="886"/>
      <c r="M132" s="1106"/>
      <c r="N132" s="886"/>
      <c r="O132" s="886"/>
    </row>
    <row r="133" spans="2:15" ht="12.75">
      <c r="B133" s="441"/>
      <c r="C133" s="878">
        <f>IF(D94="","-",+C132+1)</f>
        <v>2049</v>
      </c>
      <c r="D133" s="827">
        <f t="shared" si="1"/>
        <v>0</v>
      </c>
      <c r="E133" s="884">
        <f t="shared" si="5"/>
        <v>0</v>
      </c>
      <c r="F133" s="827">
        <f t="shared" si="0"/>
        <v>0</v>
      </c>
      <c r="G133" s="879">
        <f t="shared" si="2"/>
        <v>0</v>
      </c>
      <c r="H133" s="885">
        <f t="shared" si="3"/>
        <v>0</v>
      </c>
      <c r="I133" s="882">
        <f t="shared" si="4"/>
        <v>0</v>
      </c>
      <c r="J133" s="882"/>
      <c r="K133" s="1106"/>
      <c r="L133" s="886"/>
      <c r="M133" s="1106"/>
      <c r="N133" s="886"/>
      <c r="O133" s="886"/>
    </row>
    <row r="134" spans="2:15" ht="12.75">
      <c r="B134" s="441"/>
      <c r="C134" s="878">
        <f>IF(D94="","-",+C133+1)</f>
        <v>2050</v>
      </c>
      <c r="D134" s="827">
        <f t="shared" si="1"/>
        <v>0</v>
      </c>
      <c r="E134" s="884">
        <f t="shared" si="5"/>
        <v>0</v>
      </c>
      <c r="F134" s="827">
        <f t="shared" si="0"/>
        <v>0</v>
      </c>
      <c r="G134" s="879">
        <f t="shared" si="2"/>
        <v>0</v>
      </c>
      <c r="H134" s="885">
        <f t="shared" si="3"/>
        <v>0</v>
      </c>
      <c r="I134" s="882">
        <f t="shared" si="4"/>
        <v>0</v>
      </c>
      <c r="J134" s="882"/>
      <c r="K134" s="1106"/>
      <c r="L134" s="886"/>
      <c r="M134" s="1106"/>
      <c r="N134" s="886"/>
      <c r="O134" s="886"/>
    </row>
    <row r="135" spans="2:15" ht="12.75">
      <c r="B135" s="441"/>
      <c r="C135" s="878">
        <f>IF(D94="","-",+C134+1)</f>
        <v>2051</v>
      </c>
      <c r="D135" s="827">
        <f t="shared" si="1"/>
        <v>0</v>
      </c>
      <c r="E135" s="884">
        <f t="shared" si="5"/>
        <v>0</v>
      </c>
      <c r="F135" s="827">
        <f t="shared" si="0"/>
        <v>0</v>
      </c>
      <c r="G135" s="879">
        <f t="shared" si="2"/>
        <v>0</v>
      </c>
      <c r="H135" s="885">
        <f t="shared" si="3"/>
        <v>0</v>
      </c>
      <c r="I135" s="882">
        <f t="shared" si="4"/>
        <v>0</v>
      </c>
      <c r="J135" s="882"/>
      <c r="K135" s="1106"/>
      <c r="L135" s="886"/>
      <c r="M135" s="1106"/>
      <c r="N135" s="886"/>
      <c r="O135" s="886"/>
    </row>
    <row r="136" spans="2:15" ht="12.75">
      <c r="B136" s="441"/>
      <c r="C136" s="878">
        <f>IF(D94="","-",+C135+1)</f>
        <v>2052</v>
      </c>
      <c r="D136" s="827">
        <f t="shared" si="1"/>
        <v>0</v>
      </c>
      <c r="E136" s="884">
        <f t="shared" si="5"/>
        <v>0</v>
      </c>
      <c r="F136" s="827">
        <f t="shared" si="0"/>
        <v>0</v>
      </c>
      <c r="G136" s="879">
        <f t="shared" si="2"/>
        <v>0</v>
      </c>
      <c r="H136" s="885">
        <f t="shared" si="3"/>
        <v>0</v>
      </c>
      <c r="I136" s="882">
        <f t="shared" si="4"/>
        <v>0</v>
      </c>
      <c r="J136" s="882"/>
      <c r="K136" s="1106"/>
      <c r="L136" s="886"/>
      <c r="M136" s="1106"/>
      <c r="N136" s="886"/>
      <c r="O136" s="886"/>
    </row>
    <row r="137" spans="2:15" ht="12.75">
      <c r="B137" s="441"/>
      <c r="C137" s="878">
        <f>IF(D94="","-",+C136+1)</f>
        <v>2053</v>
      </c>
      <c r="D137" s="827">
        <f t="shared" si="1"/>
        <v>0</v>
      </c>
      <c r="E137" s="884">
        <f t="shared" si="5"/>
        <v>0</v>
      </c>
      <c r="F137" s="827">
        <f t="shared" si="0"/>
        <v>0</v>
      </c>
      <c r="G137" s="879">
        <f t="shared" si="2"/>
        <v>0</v>
      </c>
      <c r="H137" s="885">
        <f t="shared" si="3"/>
        <v>0</v>
      </c>
      <c r="I137" s="882">
        <f t="shared" si="4"/>
        <v>0</v>
      </c>
      <c r="J137" s="882"/>
      <c r="K137" s="1106"/>
      <c r="L137" s="886"/>
      <c r="M137" s="1106"/>
      <c r="N137" s="886"/>
      <c r="O137" s="886"/>
    </row>
    <row r="138" spans="2:15" ht="12.75">
      <c r="B138" s="441"/>
      <c r="C138" s="878">
        <f>IF(D94="","-",+C137+1)</f>
        <v>2054</v>
      </c>
      <c r="D138" s="827">
        <f t="shared" si="1"/>
        <v>0</v>
      </c>
      <c r="E138" s="884">
        <f t="shared" si="5"/>
        <v>0</v>
      </c>
      <c r="F138" s="827">
        <f t="shared" si="0"/>
        <v>0</v>
      </c>
      <c r="G138" s="879">
        <f t="shared" si="2"/>
        <v>0</v>
      </c>
      <c r="H138" s="885">
        <f t="shared" si="3"/>
        <v>0</v>
      </c>
      <c r="I138" s="882">
        <f t="shared" si="4"/>
        <v>0</v>
      </c>
      <c r="J138" s="882"/>
      <c r="K138" s="1106"/>
      <c r="L138" s="886"/>
      <c r="M138" s="1106"/>
      <c r="N138" s="886"/>
      <c r="O138" s="886"/>
    </row>
    <row r="139" spans="2:15" ht="12.75">
      <c r="B139" s="441"/>
      <c r="C139" s="878">
        <f>IF(D94="","-",+C138+1)</f>
        <v>2055</v>
      </c>
      <c r="D139" s="827">
        <f t="shared" si="1"/>
        <v>0</v>
      </c>
      <c r="E139" s="884">
        <f t="shared" si="5"/>
        <v>0</v>
      </c>
      <c r="F139" s="827">
        <f t="shared" si="0"/>
        <v>0</v>
      </c>
      <c r="G139" s="879">
        <f t="shared" si="2"/>
        <v>0</v>
      </c>
      <c r="H139" s="885">
        <f t="shared" si="3"/>
        <v>0</v>
      </c>
      <c r="I139" s="882">
        <f t="shared" si="4"/>
        <v>0</v>
      </c>
      <c r="J139" s="882"/>
      <c r="K139" s="1106"/>
      <c r="L139" s="886"/>
      <c r="M139" s="1106"/>
      <c r="N139" s="886"/>
      <c r="O139" s="886"/>
    </row>
    <row r="140" spans="2:15" ht="12.75">
      <c r="B140" s="441"/>
      <c r="C140" s="878">
        <f>IF(D94="","-",+C139+1)</f>
        <v>2056</v>
      </c>
      <c r="D140" s="827">
        <f t="shared" si="1"/>
        <v>0</v>
      </c>
      <c r="E140" s="884">
        <f t="shared" si="5"/>
        <v>0</v>
      </c>
      <c r="F140" s="827">
        <f t="shared" si="0"/>
        <v>0</v>
      </c>
      <c r="G140" s="879">
        <f t="shared" si="2"/>
        <v>0</v>
      </c>
      <c r="H140" s="885">
        <f t="shared" si="3"/>
        <v>0</v>
      </c>
      <c r="I140" s="882">
        <f t="shared" si="4"/>
        <v>0</v>
      </c>
      <c r="J140" s="882"/>
      <c r="K140" s="1106"/>
      <c r="L140" s="886"/>
      <c r="M140" s="1106"/>
      <c r="N140" s="886"/>
      <c r="O140" s="886"/>
    </row>
    <row r="141" spans="2:15" ht="12.75">
      <c r="B141" s="441"/>
      <c r="C141" s="878">
        <f>IF(D94="","-",+C140+1)</f>
        <v>2057</v>
      </c>
      <c r="D141" s="827">
        <f t="shared" si="1"/>
        <v>0</v>
      </c>
      <c r="E141" s="884">
        <f t="shared" si="5"/>
        <v>0</v>
      </c>
      <c r="F141" s="827">
        <f t="shared" si="0"/>
        <v>0</v>
      </c>
      <c r="G141" s="879">
        <f t="shared" si="2"/>
        <v>0</v>
      </c>
      <c r="H141" s="885">
        <f t="shared" si="3"/>
        <v>0</v>
      </c>
      <c r="I141" s="882">
        <f t="shared" si="4"/>
        <v>0</v>
      </c>
      <c r="J141" s="882"/>
      <c r="K141" s="1106"/>
      <c r="L141" s="886"/>
      <c r="M141" s="1106"/>
      <c r="N141" s="886"/>
      <c r="O141" s="886"/>
    </row>
    <row r="142" spans="2:15" ht="12.75">
      <c r="B142" s="441"/>
      <c r="C142" s="878">
        <f>IF(D94="","-",+C141+1)</f>
        <v>2058</v>
      </c>
      <c r="D142" s="827">
        <f t="shared" si="1"/>
        <v>0</v>
      </c>
      <c r="E142" s="884">
        <f t="shared" si="5"/>
        <v>0</v>
      </c>
      <c r="F142" s="827">
        <f t="shared" si="0"/>
        <v>0</v>
      </c>
      <c r="G142" s="879">
        <f t="shared" si="2"/>
        <v>0</v>
      </c>
      <c r="H142" s="885">
        <f t="shared" si="3"/>
        <v>0</v>
      </c>
      <c r="I142" s="882">
        <f t="shared" si="4"/>
        <v>0</v>
      </c>
      <c r="J142" s="882"/>
      <c r="K142" s="1106"/>
      <c r="L142" s="886"/>
      <c r="M142" s="1106"/>
      <c r="N142" s="886"/>
      <c r="O142" s="886"/>
    </row>
    <row r="143" spans="2:15" ht="12.75">
      <c r="B143" s="441"/>
      <c r="C143" s="878">
        <f>IF(D94="","-",+C142+1)</f>
        <v>2059</v>
      </c>
      <c r="D143" s="827">
        <f t="shared" si="1"/>
        <v>0</v>
      </c>
      <c r="E143" s="884">
        <f t="shared" si="5"/>
        <v>0</v>
      </c>
      <c r="F143" s="827">
        <f t="shared" si="0"/>
        <v>0</v>
      </c>
      <c r="G143" s="879">
        <f t="shared" si="2"/>
        <v>0</v>
      </c>
      <c r="H143" s="885">
        <f t="shared" si="3"/>
        <v>0</v>
      </c>
      <c r="I143" s="882">
        <f t="shared" si="4"/>
        <v>0</v>
      </c>
      <c r="J143" s="882"/>
      <c r="K143" s="1106"/>
      <c r="L143" s="886"/>
      <c r="M143" s="1106"/>
      <c r="N143" s="886"/>
      <c r="O143" s="886"/>
    </row>
    <row r="144" spans="2:15" ht="12.75">
      <c r="B144" s="441"/>
      <c r="C144" s="878">
        <f>IF(D94="","-",+C143+1)</f>
        <v>2060</v>
      </c>
      <c r="D144" s="827">
        <f t="shared" si="1"/>
        <v>0</v>
      </c>
      <c r="E144" s="884">
        <f t="shared" si="5"/>
        <v>0</v>
      </c>
      <c r="F144" s="827">
        <f t="shared" si="0"/>
        <v>0</v>
      </c>
      <c r="G144" s="879">
        <f t="shared" si="2"/>
        <v>0</v>
      </c>
      <c r="H144" s="885">
        <f t="shared" si="3"/>
        <v>0</v>
      </c>
      <c r="I144" s="882">
        <f t="shared" si="4"/>
        <v>0</v>
      </c>
      <c r="J144" s="882"/>
      <c r="K144" s="1106"/>
      <c r="L144" s="886"/>
      <c r="M144" s="1106"/>
      <c r="N144" s="886"/>
      <c r="O144" s="886"/>
    </row>
    <row r="145" spans="2:15" ht="12.75">
      <c r="B145" s="441"/>
      <c r="C145" s="878">
        <f>IF(D94="","-",+C144+1)</f>
        <v>2061</v>
      </c>
      <c r="D145" s="827">
        <f t="shared" si="1"/>
        <v>0</v>
      </c>
      <c r="E145" s="884">
        <f t="shared" si="5"/>
        <v>0</v>
      </c>
      <c r="F145" s="827">
        <f t="shared" si="0"/>
        <v>0</v>
      </c>
      <c r="G145" s="879">
        <f t="shared" si="2"/>
        <v>0</v>
      </c>
      <c r="H145" s="885">
        <f t="shared" si="3"/>
        <v>0</v>
      </c>
      <c r="I145" s="882">
        <f t="shared" si="4"/>
        <v>0</v>
      </c>
      <c r="J145" s="882"/>
      <c r="K145" s="1106"/>
      <c r="L145" s="886"/>
      <c r="M145" s="1106"/>
      <c r="N145" s="886"/>
      <c r="O145" s="886"/>
    </row>
    <row r="146" spans="2:15" ht="12.75">
      <c r="B146" s="441"/>
      <c r="C146" s="878">
        <f>IF(D94="","-",+C145+1)</f>
        <v>2062</v>
      </c>
      <c r="D146" s="827">
        <f t="shared" si="1"/>
        <v>0</v>
      </c>
      <c r="E146" s="884">
        <f t="shared" si="5"/>
        <v>0</v>
      </c>
      <c r="F146" s="827">
        <f t="shared" si="0"/>
        <v>0</v>
      </c>
      <c r="G146" s="879">
        <f t="shared" si="2"/>
        <v>0</v>
      </c>
      <c r="H146" s="885">
        <f t="shared" si="3"/>
        <v>0</v>
      </c>
      <c r="I146" s="882">
        <f t="shared" si="4"/>
        <v>0</v>
      </c>
      <c r="J146" s="882"/>
      <c r="K146" s="1106"/>
      <c r="L146" s="886"/>
      <c r="M146" s="1106"/>
      <c r="N146" s="886"/>
      <c r="O146" s="886"/>
    </row>
    <row r="147" spans="2:15" ht="12.75">
      <c r="B147" s="441"/>
      <c r="C147" s="878">
        <f>IF(D94="","-",+C146+1)</f>
        <v>2063</v>
      </c>
      <c r="D147" s="827">
        <f t="shared" si="1"/>
        <v>0</v>
      </c>
      <c r="E147" s="884">
        <f t="shared" si="5"/>
        <v>0</v>
      </c>
      <c r="F147" s="827">
        <f t="shared" si="0"/>
        <v>0</v>
      </c>
      <c r="G147" s="879">
        <f t="shared" si="2"/>
        <v>0</v>
      </c>
      <c r="H147" s="885">
        <f t="shared" si="3"/>
        <v>0</v>
      </c>
      <c r="I147" s="882">
        <f t="shared" si="4"/>
        <v>0</v>
      </c>
      <c r="J147" s="882"/>
      <c r="K147" s="1106"/>
      <c r="L147" s="886"/>
      <c r="M147" s="1106"/>
      <c r="N147" s="886"/>
      <c r="O147" s="886"/>
    </row>
    <row r="148" spans="2:15" ht="12.75">
      <c r="B148" s="441"/>
      <c r="C148" s="878">
        <f>IF(D94="","-",+C147+1)</f>
        <v>2064</v>
      </c>
      <c r="D148" s="827">
        <f t="shared" si="1"/>
        <v>0</v>
      </c>
      <c r="E148" s="884">
        <f t="shared" si="5"/>
        <v>0</v>
      </c>
      <c r="F148" s="827">
        <f t="shared" si="0"/>
        <v>0</v>
      </c>
      <c r="G148" s="879">
        <f t="shared" si="2"/>
        <v>0</v>
      </c>
      <c r="H148" s="885">
        <f t="shared" si="3"/>
        <v>0</v>
      </c>
      <c r="I148" s="882">
        <f t="shared" si="4"/>
        <v>0</v>
      </c>
      <c r="J148" s="882"/>
      <c r="K148" s="1106"/>
      <c r="L148" s="886"/>
      <c r="M148" s="1106"/>
      <c r="N148" s="886"/>
      <c r="O148" s="886"/>
    </row>
    <row r="149" spans="2:15" ht="12.75">
      <c r="B149" s="441"/>
      <c r="C149" s="878">
        <f>IF(D94="","-",+C148+1)</f>
        <v>2065</v>
      </c>
      <c r="D149" s="827">
        <f t="shared" si="1"/>
        <v>0</v>
      </c>
      <c r="E149" s="884">
        <f t="shared" si="5"/>
        <v>0</v>
      </c>
      <c r="F149" s="827">
        <f t="shared" si="0"/>
        <v>0</v>
      </c>
      <c r="G149" s="879">
        <f t="shared" si="2"/>
        <v>0</v>
      </c>
      <c r="H149" s="885">
        <f t="shared" si="3"/>
        <v>0</v>
      </c>
      <c r="I149" s="882">
        <f t="shared" si="4"/>
        <v>0</v>
      </c>
      <c r="J149" s="882"/>
      <c r="K149" s="1106"/>
      <c r="L149" s="886"/>
      <c r="M149" s="1106"/>
      <c r="N149" s="886"/>
      <c r="O149" s="886"/>
    </row>
    <row r="150" spans="2:15" ht="12.75">
      <c r="B150" s="441"/>
      <c r="C150" s="878">
        <f>IF(D94="","-",+C149+1)</f>
        <v>2066</v>
      </c>
      <c r="D150" s="827">
        <f t="shared" si="1"/>
        <v>0</v>
      </c>
      <c r="E150" s="884">
        <f t="shared" si="5"/>
        <v>0</v>
      </c>
      <c r="F150" s="827">
        <f t="shared" si="0"/>
        <v>0</v>
      </c>
      <c r="G150" s="879">
        <f t="shared" si="2"/>
        <v>0</v>
      </c>
      <c r="H150" s="885">
        <f t="shared" si="3"/>
        <v>0</v>
      </c>
      <c r="I150" s="882">
        <f t="shared" si="4"/>
        <v>0</v>
      </c>
      <c r="J150" s="882"/>
      <c r="K150" s="1106"/>
      <c r="L150" s="886"/>
      <c r="M150" s="1106"/>
      <c r="N150" s="886"/>
      <c r="O150" s="886"/>
    </row>
    <row r="151" spans="2:15" ht="12.75">
      <c r="B151" s="441"/>
      <c r="C151" s="878">
        <f>IF(D94="","-",+C150+1)</f>
        <v>2067</v>
      </c>
      <c r="D151" s="827">
        <f t="shared" si="1"/>
        <v>0</v>
      </c>
      <c r="E151" s="884">
        <f t="shared" si="5"/>
        <v>0</v>
      </c>
      <c r="F151" s="827">
        <f t="shared" si="0"/>
        <v>0</v>
      </c>
      <c r="G151" s="879">
        <f t="shared" si="2"/>
        <v>0</v>
      </c>
      <c r="H151" s="885">
        <f t="shared" si="3"/>
        <v>0</v>
      </c>
      <c r="I151" s="882">
        <f t="shared" si="4"/>
        <v>0</v>
      </c>
      <c r="J151" s="882"/>
      <c r="K151" s="1106"/>
      <c r="L151" s="886"/>
      <c r="M151" s="1106"/>
      <c r="N151" s="886"/>
      <c r="O151" s="886"/>
    </row>
    <row r="152" spans="2:15" ht="12.75">
      <c r="B152" s="441"/>
      <c r="C152" s="878">
        <f>IF(D94="","-",+C151+1)</f>
        <v>2068</v>
      </c>
      <c r="D152" s="827">
        <f t="shared" si="1"/>
        <v>0</v>
      </c>
      <c r="E152" s="884">
        <f t="shared" si="5"/>
        <v>0</v>
      </c>
      <c r="F152" s="827">
        <f t="shared" si="0"/>
        <v>0</v>
      </c>
      <c r="G152" s="879">
        <f t="shared" si="2"/>
        <v>0</v>
      </c>
      <c r="H152" s="885">
        <f t="shared" si="3"/>
        <v>0</v>
      </c>
      <c r="I152" s="882">
        <f t="shared" si="4"/>
        <v>0</v>
      </c>
      <c r="J152" s="882"/>
      <c r="K152" s="1106"/>
      <c r="L152" s="886"/>
      <c r="M152" s="1106"/>
      <c r="N152" s="886"/>
      <c r="O152" s="886"/>
    </row>
    <row r="153" spans="2:15" ht="12.75">
      <c r="B153" s="441"/>
      <c r="C153" s="878">
        <f>IF(D94="","-",+C152+1)</f>
        <v>2069</v>
      </c>
      <c r="D153" s="827">
        <f t="shared" si="1"/>
        <v>0</v>
      </c>
      <c r="E153" s="884">
        <f t="shared" si="5"/>
        <v>0</v>
      </c>
      <c r="F153" s="827">
        <f t="shared" si="0"/>
        <v>0</v>
      </c>
      <c r="G153" s="879">
        <f t="shared" si="2"/>
        <v>0</v>
      </c>
      <c r="H153" s="885">
        <f t="shared" si="3"/>
        <v>0</v>
      </c>
      <c r="I153" s="882">
        <f t="shared" si="4"/>
        <v>0</v>
      </c>
      <c r="J153" s="882"/>
      <c r="K153" s="1106"/>
      <c r="L153" s="886"/>
      <c r="M153" s="1106"/>
      <c r="N153" s="886"/>
      <c r="O153" s="886"/>
    </row>
    <row r="154" spans="2:15" ht="12.75">
      <c r="B154" s="441"/>
      <c r="C154" s="878">
        <f>IF(D94="","-",+C153+1)</f>
        <v>2070</v>
      </c>
      <c r="D154" s="827">
        <f t="shared" si="1"/>
        <v>0</v>
      </c>
      <c r="E154" s="884">
        <f t="shared" si="5"/>
        <v>0</v>
      </c>
      <c r="F154" s="827">
        <f t="shared" si="0"/>
        <v>0</v>
      </c>
      <c r="G154" s="879">
        <f t="shared" si="2"/>
        <v>0</v>
      </c>
      <c r="H154" s="885">
        <f t="shared" si="3"/>
        <v>0</v>
      </c>
      <c r="I154" s="882">
        <f t="shared" si="4"/>
        <v>0</v>
      </c>
      <c r="J154" s="882"/>
      <c r="K154" s="1106"/>
      <c r="L154" s="886"/>
      <c r="M154" s="1106"/>
      <c r="N154" s="886"/>
      <c r="O154" s="886"/>
    </row>
    <row r="155" spans="2:15" ht="12.75">
      <c r="B155" s="441"/>
      <c r="C155" s="878">
        <f>IF(D94="","-",+C154+1)</f>
        <v>2071</v>
      </c>
      <c r="D155" s="827">
        <f t="shared" si="1"/>
        <v>0</v>
      </c>
      <c r="E155" s="884">
        <f t="shared" si="5"/>
        <v>0</v>
      </c>
      <c r="F155" s="827">
        <f t="shared" si="0"/>
        <v>0</v>
      </c>
      <c r="G155" s="879">
        <f t="shared" si="2"/>
        <v>0</v>
      </c>
      <c r="H155" s="885">
        <f t="shared" si="3"/>
        <v>0</v>
      </c>
      <c r="I155" s="882">
        <f t="shared" si="4"/>
        <v>0</v>
      </c>
      <c r="J155" s="882"/>
      <c r="K155" s="1106"/>
      <c r="L155" s="886"/>
      <c r="M155" s="1106"/>
      <c r="N155" s="886"/>
      <c r="O155" s="886"/>
    </row>
    <row r="156" spans="2:15" ht="12.75">
      <c r="B156" s="441"/>
      <c r="C156" s="878">
        <f>IF(D94="","-",+C155+1)</f>
        <v>2072</v>
      </c>
      <c r="D156" s="827">
        <f t="shared" si="1"/>
        <v>0</v>
      </c>
      <c r="E156" s="884">
        <f t="shared" si="5"/>
        <v>0</v>
      </c>
      <c r="F156" s="827">
        <f t="shared" si="0"/>
        <v>0</v>
      </c>
      <c r="G156" s="879">
        <f t="shared" si="2"/>
        <v>0</v>
      </c>
      <c r="H156" s="885">
        <f t="shared" si="3"/>
        <v>0</v>
      </c>
      <c r="I156" s="882">
        <f t="shared" si="4"/>
        <v>0</v>
      </c>
      <c r="J156" s="882"/>
      <c r="K156" s="1106"/>
      <c r="L156" s="886"/>
      <c r="M156" s="1106"/>
      <c r="N156" s="886"/>
      <c r="O156" s="886"/>
    </row>
    <row r="157" spans="2:15" ht="12.75">
      <c r="B157" s="441"/>
      <c r="C157" s="878">
        <f>IF(D94="","-",+C156+1)</f>
        <v>2073</v>
      </c>
      <c r="D157" s="827">
        <f t="shared" si="1"/>
        <v>0</v>
      </c>
      <c r="E157" s="884">
        <f t="shared" si="5"/>
        <v>0</v>
      </c>
      <c r="F157" s="827">
        <f t="shared" si="0"/>
        <v>0</v>
      </c>
      <c r="G157" s="879">
        <f t="shared" si="2"/>
        <v>0</v>
      </c>
      <c r="H157" s="885">
        <f t="shared" si="3"/>
        <v>0</v>
      </c>
      <c r="I157" s="882">
        <f t="shared" si="4"/>
        <v>0</v>
      </c>
      <c r="J157" s="882"/>
      <c r="K157" s="1106"/>
      <c r="L157" s="886"/>
      <c r="M157" s="1106"/>
      <c r="N157" s="886"/>
      <c r="O157" s="886"/>
    </row>
    <row r="158" spans="2:15" ht="12.75">
      <c r="B158" s="441"/>
      <c r="C158" s="878">
        <f>IF(D94="","-",+C157+1)</f>
        <v>2074</v>
      </c>
      <c r="D158" s="827">
        <f t="shared" si="1"/>
        <v>0</v>
      </c>
      <c r="E158" s="884">
        <f t="shared" si="5"/>
        <v>0</v>
      </c>
      <c r="F158" s="827">
        <f t="shared" si="0"/>
        <v>0</v>
      </c>
      <c r="G158" s="879">
        <f t="shared" si="2"/>
        <v>0</v>
      </c>
      <c r="H158" s="885">
        <f t="shared" si="3"/>
        <v>0</v>
      </c>
      <c r="I158" s="882">
        <f t="shared" si="4"/>
        <v>0</v>
      </c>
      <c r="J158" s="882"/>
      <c r="K158" s="1106"/>
      <c r="L158" s="886"/>
      <c r="M158" s="1106"/>
      <c r="N158" s="886"/>
      <c r="O158" s="886"/>
    </row>
    <row r="159" spans="2:15" ht="13.5" thickBot="1">
      <c r="B159" s="441"/>
      <c r="C159" s="887">
        <f>IF(D94="","-",+C158+1)</f>
        <v>2075</v>
      </c>
      <c r="D159" s="888">
        <f t="shared" si="1"/>
        <v>0</v>
      </c>
      <c r="E159" s="889">
        <f t="shared" si="5"/>
        <v>0</v>
      </c>
      <c r="F159" s="888">
        <f t="shared" si="0"/>
        <v>0</v>
      </c>
      <c r="G159" s="890">
        <f t="shared" si="2"/>
        <v>0</v>
      </c>
      <c r="H159" s="890">
        <f t="shared" si="3"/>
        <v>0</v>
      </c>
      <c r="I159" s="891">
        <f t="shared" si="4"/>
        <v>0</v>
      </c>
      <c r="J159" s="882"/>
      <c r="K159" s="1107"/>
      <c r="L159" s="892"/>
      <c r="M159" s="1107"/>
      <c r="N159" s="892"/>
      <c r="O159" s="892"/>
    </row>
    <row r="160" spans="2:15" ht="12.75">
      <c r="B160" s="441"/>
      <c r="C160" s="827" t="s">
        <v>365</v>
      </c>
      <c r="D160" s="821"/>
      <c r="E160" s="821">
        <f>SUM(E100:E159)</f>
        <v>0</v>
      </c>
      <c r="F160" s="821"/>
      <c r="G160" s="821">
        <f>SUM(G100:G159)</f>
        <v>0</v>
      </c>
      <c r="H160" s="821">
        <f>SUM(H100:H159)</f>
        <v>0</v>
      </c>
      <c r="I160" s="821">
        <f>SUM(I100:I159)</f>
        <v>0</v>
      </c>
      <c r="J160" s="821"/>
      <c r="K160" s="821"/>
      <c r="L160" s="821"/>
      <c r="M160" s="821"/>
      <c r="N160" s="821"/>
      <c r="O160" s="680"/>
    </row>
    <row r="161" spans="2:15" ht="12.75">
      <c r="B161" s="441"/>
      <c r="D161" s="714"/>
      <c r="E161" s="680"/>
      <c r="F161" s="680"/>
      <c r="G161" s="680"/>
      <c r="H161" s="797"/>
      <c r="I161" s="797"/>
      <c r="J161" s="821"/>
      <c r="K161" s="797"/>
      <c r="L161" s="797"/>
      <c r="M161" s="797"/>
      <c r="N161" s="797"/>
      <c r="O161" s="680"/>
    </row>
    <row r="162" spans="2:15" ht="12.75">
      <c r="B162" s="441"/>
      <c r="C162" s="680" t="s">
        <v>780</v>
      </c>
      <c r="D162" s="714"/>
      <c r="E162" s="680"/>
      <c r="F162" s="680"/>
      <c r="G162" s="680"/>
      <c r="H162" s="797"/>
      <c r="I162" s="797"/>
      <c r="J162" s="821"/>
      <c r="K162" s="797"/>
      <c r="L162" s="797"/>
      <c r="M162" s="797"/>
      <c r="N162" s="797"/>
      <c r="O162" s="680"/>
    </row>
    <row r="163" spans="2:15" ht="12.75">
      <c r="B163" s="441"/>
      <c r="C163" s="680"/>
      <c r="D163" s="714"/>
      <c r="E163" s="680"/>
      <c r="F163" s="680"/>
      <c r="G163" s="680"/>
      <c r="H163" s="797"/>
      <c r="I163" s="797"/>
      <c r="J163" s="821"/>
      <c r="K163" s="797"/>
      <c r="L163" s="797"/>
      <c r="M163" s="797"/>
      <c r="N163" s="797"/>
      <c r="O163" s="680"/>
    </row>
    <row r="164" spans="2:15" ht="12.75">
      <c r="B164" s="441"/>
      <c r="C164" s="839" t="s">
        <v>839</v>
      </c>
      <c r="D164" s="827"/>
      <c r="E164" s="827"/>
      <c r="F164" s="827"/>
      <c r="G164" s="821"/>
      <c r="H164" s="821"/>
      <c r="I164" s="828"/>
      <c r="J164" s="828"/>
      <c r="K164" s="828"/>
      <c r="L164" s="828"/>
      <c r="M164" s="828"/>
      <c r="N164" s="828"/>
      <c r="O164" s="680"/>
    </row>
    <row r="165" spans="2:15" ht="12.75">
      <c r="B165" s="441"/>
      <c r="C165" s="826" t="s">
        <v>605</v>
      </c>
      <c r="D165" s="827"/>
      <c r="E165" s="827"/>
      <c r="F165" s="827"/>
      <c r="G165" s="821"/>
      <c r="H165" s="821"/>
      <c r="I165" s="828"/>
      <c r="J165" s="828"/>
      <c r="K165" s="828"/>
      <c r="L165" s="828"/>
      <c r="M165" s="828"/>
      <c r="N165" s="828"/>
      <c r="O165" s="680"/>
    </row>
    <row r="166" spans="2:15" ht="12.75">
      <c r="B166" s="441"/>
      <c r="C166" s="826" t="s">
        <v>366</v>
      </c>
      <c r="D166" s="827"/>
      <c r="E166" s="827"/>
      <c r="F166" s="827"/>
      <c r="G166" s="821"/>
      <c r="H166" s="821"/>
      <c r="I166" s="828"/>
      <c r="J166" s="828"/>
      <c r="K166" s="828"/>
      <c r="L166" s="828"/>
      <c r="M166" s="828"/>
      <c r="N166" s="828"/>
      <c r="O166" s="680"/>
    </row>
    <row r="167" spans="2:15" ht="12.75">
      <c r="B167" s="441"/>
      <c r="C167" s="826"/>
      <c r="D167" s="827"/>
      <c r="E167" s="827"/>
      <c r="F167" s="827"/>
      <c r="G167" s="821"/>
      <c r="H167" s="821"/>
      <c r="I167" s="828"/>
      <c r="J167" s="828"/>
      <c r="K167" s="828"/>
      <c r="L167" s="828"/>
      <c r="M167" s="828"/>
      <c r="N167" s="828"/>
      <c r="O167" s="680"/>
    </row>
    <row r="168" spans="2:15" ht="12.75">
      <c r="B168" s="441"/>
      <c r="C168" s="1229" t="s">
        <v>586</v>
      </c>
      <c r="D168" s="1229"/>
      <c r="E168" s="1229"/>
      <c r="F168" s="1229"/>
      <c r="G168" s="1229"/>
      <c r="H168" s="1229"/>
      <c r="I168" s="1229"/>
      <c r="J168" s="1229"/>
      <c r="K168" s="1229"/>
      <c r="L168" s="1229"/>
      <c r="M168" s="1229"/>
      <c r="N168" s="1229"/>
      <c r="O168" s="1229"/>
    </row>
    <row r="169" spans="2:15" ht="12.75">
      <c r="B169" s="441"/>
      <c r="C169" s="1229"/>
      <c r="D169" s="1229"/>
      <c r="E169" s="1229"/>
      <c r="F169" s="1229"/>
      <c r="G169" s="1229"/>
      <c r="H169" s="1229"/>
      <c r="I169" s="1229"/>
      <c r="J169" s="1229"/>
      <c r="K169" s="1229"/>
      <c r="L169" s="1229"/>
      <c r="M169" s="1229"/>
      <c r="N169" s="1229"/>
      <c r="O169" s="1229"/>
    </row>
  </sheetData>
  <sheetProtection/>
  <mergeCells count="9">
    <mergeCell ref="K93:O93"/>
    <mergeCell ref="C168:O169"/>
    <mergeCell ref="D89:G89"/>
    <mergeCell ref="K20:O21"/>
    <mergeCell ref="A1:O1"/>
    <mergeCell ref="C9:H10"/>
    <mergeCell ref="A2:O2"/>
    <mergeCell ref="A3:O3"/>
    <mergeCell ref="A4:O4"/>
  </mergeCells>
  <conditionalFormatting sqref="C100:C159">
    <cfRule type="cellIs" priority="1" dxfId="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60" zoomScalePageLayoutView="0" workbookViewId="0" topLeftCell="A88">
      <selection activeCell="N102" sqref="N102:N161"/>
    </sheetView>
  </sheetViews>
  <sheetFormatPr defaultColWidth="8.8515625" defaultRowHeight="12.75"/>
  <cols>
    <col min="1" max="1" width="4.7109375" style="441" customWidth="1"/>
    <col min="2" max="2" width="6.7109375" style="534" customWidth="1"/>
    <col min="3" max="3" width="22.140625" style="441" customWidth="1"/>
    <col min="4" max="4" width="17.7109375" style="547" customWidth="1"/>
    <col min="5" max="8" width="17.7109375" style="441" customWidth="1"/>
    <col min="9" max="9" width="17.7109375" style="740" customWidth="1"/>
    <col min="10" max="10" width="17.7109375" style="441" bestFit="1" customWidth="1"/>
    <col min="11" max="11" width="2.140625" style="425" customWidth="1"/>
    <col min="12" max="12" width="17.7109375" style="680" customWidth="1"/>
    <col min="13" max="13" width="31.8515625" style="680" customWidth="1"/>
    <col min="14" max="15" width="17.7109375" style="680" customWidth="1"/>
    <col min="16" max="16" width="16.7109375" style="680" customWidth="1"/>
    <col min="17" max="17" width="2.140625" style="680" customWidth="1"/>
    <col min="18" max="16384" width="8.8515625" style="441" customWidth="1"/>
  </cols>
  <sheetData>
    <row r="1" spans="1:17" ht="15">
      <c r="A1" s="1212" t="s">
        <v>491</v>
      </c>
      <c r="B1" s="1212"/>
      <c r="C1" s="1212"/>
      <c r="D1" s="1212"/>
      <c r="E1" s="1212"/>
      <c r="F1" s="1212"/>
      <c r="G1" s="1212"/>
      <c r="H1" s="1212"/>
      <c r="I1" s="1212"/>
      <c r="J1" s="1212"/>
      <c r="K1" s="1212"/>
      <c r="L1" s="1212"/>
      <c r="M1" s="1212"/>
      <c r="N1" s="1212"/>
      <c r="O1" s="1212"/>
      <c r="P1" s="1212"/>
      <c r="Q1" s="739"/>
    </row>
    <row r="2" spans="1:17" ht="15">
      <c r="A2" s="1213" t="str">
        <f>"Cost of Service Formula Rate Using "&amp;'KP TCOS'!L2&amp;" FF1 Balances"</f>
        <v>Cost of Service Formula Rate Using 2017 FF1 Balances</v>
      </c>
      <c r="B2" s="1213"/>
      <c r="C2" s="1213"/>
      <c r="D2" s="1213"/>
      <c r="E2" s="1213"/>
      <c r="F2" s="1213"/>
      <c r="G2" s="1213"/>
      <c r="H2" s="1213"/>
      <c r="I2" s="1213"/>
      <c r="J2" s="1213"/>
      <c r="K2" s="1213"/>
      <c r="L2" s="1213"/>
      <c r="M2" s="1213"/>
      <c r="N2" s="1213"/>
      <c r="O2" s="1213"/>
      <c r="P2" s="1213"/>
      <c r="Q2" s="739"/>
    </row>
    <row r="3" spans="1:17" ht="15">
      <c r="A3" s="1213" t="s">
        <v>595</v>
      </c>
      <c r="B3" s="1213"/>
      <c r="C3" s="1213"/>
      <c r="D3" s="1213"/>
      <c r="E3" s="1213"/>
      <c r="F3" s="1213"/>
      <c r="G3" s="1213"/>
      <c r="H3" s="1213"/>
      <c r="I3" s="1213"/>
      <c r="J3" s="1213"/>
      <c r="K3" s="1213"/>
      <c r="L3" s="1213"/>
      <c r="M3" s="1213"/>
      <c r="N3" s="1213"/>
      <c r="O3" s="1213"/>
      <c r="P3" s="1213"/>
      <c r="Q3" s="739"/>
    </row>
    <row r="4" spans="1:17" ht="15">
      <c r="A4" s="1214" t="str">
        <f>+'KP WS A  - RB Support '!A4:F4</f>
        <v>KENTUCKY POWER COMPANY</v>
      </c>
      <c r="B4" s="1214"/>
      <c r="C4" s="1214"/>
      <c r="D4" s="1214"/>
      <c r="E4" s="1214"/>
      <c r="F4" s="1214"/>
      <c r="G4" s="1214"/>
      <c r="H4" s="1214"/>
      <c r="I4" s="1214"/>
      <c r="J4" s="1214"/>
      <c r="K4" s="1214"/>
      <c r="L4" s="1214"/>
      <c r="M4" s="1214"/>
      <c r="N4" s="1214"/>
      <c r="O4" s="1214"/>
      <c r="P4" s="1214"/>
      <c r="Q4" s="739"/>
    </row>
    <row r="5" ht="12.75">
      <c r="Q5" s="739"/>
    </row>
    <row r="6" spans="1:17" ht="20.25">
      <c r="A6" s="741"/>
      <c r="C6" s="534"/>
      <c r="O6" s="742" t="str">
        <f>"Page "&amp;Q6&amp;" of "</f>
        <v>Page 1 of </v>
      </c>
      <c r="P6" s="743">
        <f>COUNT(Q$6:Q$58037)</f>
        <v>2</v>
      </c>
      <c r="Q6" s="744">
        <v>1</v>
      </c>
    </row>
    <row r="7" spans="3:17" ht="18">
      <c r="C7" s="745"/>
      <c r="Q7" s="739"/>
    </row>
    <row r="8" ht="12.75">
      <c r="Q8" s="739"/>
    </row>
    <row r="9" spans="2:17" ht="18">
      <c r="B9" s="746" t="s">
        <v>203</v>
      </c>
      <c r="C9" s="1237" t="str">
        <f>"Calculate Return and Income Taxes with "&amp;F15&amp;" basis point ROE increase for Projects Qualified for Regional Billing."</f>
        <v>Calculate Return and Income Taxes with 0 basis point ROE increase for Projects Qualified for Regional Billing.</v>
      </c>
      <c r="D9" s="1189"/>
      <c r="E9" s="1189"/>
      <c r="F9" s="1189"/>
      <c r="G9" s="1189"/>
      <c r="H9" s="1189"/>
      <c r="I9" s="1189"/>
      <c r="Q9" s="739"/>
    </row>
    <row r="10" spans="3:17" ht="18.75" customHeight="1">
      <c r="C10" s="1189"/>
      <c r="D10" s="1189"/>
      <c r="E10" s="1189"/>
      <c r="F10" s="1189"/>
      <c r="G10" s="1189"/>
      <c r="H10" s="1189"/>
      <c r="I10" s="1189"/>
      <c r="Q10" s="739"/>
    </row>
    <row r="11" spans="3:17" ht="15.75" customHeight="1">
      <c r="C11" s="659"/>
      <c r="D11" s="659"/>
      <c r="E11" s="659"/>
      <c r="F11" s="659"/>
      <c r="G11" s="659"/>
      <c r="H11" s="659"/>
      <c r="I11" s="659"/>
      <c r="Q11" s="739"/>
    </row>
    <row r="12" spans="3:17" ht="15.75">
      <c r="C12" s="747" t="str">
        <f>"A.   Determine 'R' with hypothetical "&amp;F15&amp;" basis point increase in ROE for Identified Projects"</f>
        <v>A.   Determine 'R' with hypothetical 0 basis point increase in ROE for Identified Projects</v>
      </c>
      <c r="D12" s="490"/>
      <c r="Q12" s="739"/>
    </row>
    <row r="13" spans="3:17" ht="12.75">
      <c r="C13" s="479"/>
      <c r="D13" s="490"/>
      <c r="Q13" s="739"/>
    </row>
    <row r="14" spans="3:17" ht="12.75">
      <c r="C14" s="748" t="str">
        <f>"   ROE w/o incentives  (TCOS, ln "&amp;'KP TCOS'!B267&amp;")"</f>
        <v>   ROE w/o incentives  (TCOS, ln 169)</v>
      </c>
      <c r="D14" s="490"/>
      <c r="E14" s="749"/>
      <c r="F14" s="893">
        <f>'KP TCOS'!J267</f>
        <v>0.1149</v>
      </c>
      <c r="G14" s="893"/>
      <c r="H14" s="749"/>
      <c r="I14" s="751"/>
      <c r="J14" s="751"/>
      <c r="K14" s="752"/>
      <c r="L14" s="751"/>
      <c r="M14" s="751"/>
      <c r="N14" s="751"/>
      <c r="O14" s="751"/>
      <c r="P14" s="751"/>
      <c r="Q14" s="752"/>
    </row>
    <row r="15" spans="3:17" ht="13.5" thickBot="1">
      <c r="C15" s="770" t="s">
        <v>328</v>
      </c>
      <c r="D15" s="490"/>
      <c r="E15" s="749"/>
      <c r="F15" s="1098">
        <v>0</v>
      </c>
      <c r="G15" s="749"/>
      <c r="H15" s="749"/>
      <c r="I15" s="751"/>
      <c r="J15" s="751"/>
      <c r="K15" s="752"/>
      <c r="L15" s="751"/>
      <c r="M15" s="751"/>
      <c r="N15" s="751"/>
      <c r="O15" s="751"/>
      <c r="P15" s="751"/>
      <c r="Q15" s="752"/>
    </row>
    <row r="16" spans="3:17" ht="12.75">
      <c r="C16" s="770" t="str">
        <f>"   ROE with additional "&amp;F15&amp;" basis point incentive"</f>
        <v>   ROE with additional 0 basis point incentive</v>
      </c>
      <c r="D16" s="749"/>
      <c r="E16" s="749"/>
      <c r="F16" s="754">
        <f>IF((F14+(F15/10000)&gt;0.125),"ERROR",F14+(F15/10000))</f>
        <v>0.1149</v>
      </c>
      <c r="G16" s="755"/>
      <c r="H16" s="749"/>
      <c r="I16" s="751"/>
      <c r="J16" s="751"/>
      <c r="K16" s="752"/>
      <c r="L16" s="894" t="s">
        <v>580</v>
      </c>
      <c r="M16" s="895"/>
      <c r="N16" s="895"/>
      <c r="O16" s="895"/>
      <c r="P16" s="896"/>
      <c r="Q16" s="752"/>
    </row>
    <row r="17" spans="3:17" ht="12.75">
      <c r="C17" s="748" t="str">
        <f>"   Determine R  ( cost of long term debt, cost of preferred stock and equity percentage is from the TCOS, lns "&amp;'KP TCOS'!B265&amp;" through"&amp;'KP TCOS'!B267&amp;")"</f>
        <v>   Determine R  ( cost of long term debt, cost of preferred stock and equity percentage is from the TCOS, lns 167 through169)</v>
      </c>
      <c r="D17" s="490"/>
      <c r="E17" s="749"/>
      <c r="F17" s="756"/>
      <c r="G17" s="756"/>
      <c r="H17" s="749"/>
      <c r="I17" s="751"/>
      <c r="J17" s="751"/>
      <c r="K17" s="752"/>
      <c r="L17" s="897"/>
      <c r="M17" s="752"/>
      <c r="N17" s="752" t="s">
        <v>330</v>
      </c>
      <c r="O17" s="752" t="s">
        <v>331</v>
      </c>
      <c r="P17" s="898" t="s">
        <v>332</v>
      </c>
      <c r="Q17" s="752"/>
    </row>
    <row r="18" spans="3:17" ht="12.75">
      <c r="C18" s="752"/>
      <c r="D18" s="757" t="s">
        <v>178</v>
      </c>
      <c r="E18" s="757" t="s">
        <v>177</v>
      </c>
      <c r="F18" s="758" t="s">
        <v>329</v>
      </c>
      <c r="G18" s="758"/>
      <c r="H18" s="749"/>
      <c r="I18" s="751"/>
      <c r="J18" s="751"/>
      <c r="K18" s="752"/>
      <c r="L18" s="897" t="s">
        <v>578</v>
      </c>
      <c r="M18" s="899">
        <f>+'KP TCOS'!L2</f>
        <v>2017</v>
      </c>
      <c r="N18" s="739"/>
      <c r="O18" s="739"/>
      <c r="P18" s="900"/>
      <c r="Q18" s="752"/>
    </row>
    <row r="19" spans="3:17" ht="12.75">
      <c r="C19" s="759" t="s">
        <v>333</v>
      </c>
      <c r="D19" s="901">
        <f>'KP TCOS'!H265</f>
        <v>0.5632212893441987</v>
      </c>
      <c r="E19" s="761">
        <f>'KP TCOS'!J265</f>
        <v>0.054414828735632186</v>
      </c>
      <c r="F19" s="762">
        <f>E19*D19</f>
        <v>0.030647589999926513</v>
      </c>
      <c r="G19" s="762"/>
      <c r="H19" s="749"/>
      <c r="I19" s="751"/>
      <c r="J19" s="763"/>
      <c r="K19" s="764"/>
      <c r="L19" s="902"/>
      <c r="M19" s="903" t="s">
        <v>579</v>
      </c>
      <c r="N19" s="1108"/>
      <c r="O19" s="1108"/>
      <c r="P19" s="904">
        <f>+O19-N19</f>
        <v>0</v>
      </c>
      <c r="Q19" s="764"/>
    </row>
    <row r="20" spans="3:17" ht="13.5" thickBot="1">
      <c r="C20" s="759" t="s">
        <v>334</v>
      </c>
      <c r="D20" s="901">
        <f>'KP TCOS'!H266</f>
        <v>0</v>
      </c>
      <c r="E20" s="761">
        <f>'KP TCOS'!J266</f>
        <v>0</v>
      </c>
      <c r="F20" s="762">
        <f>E20*D20</f>
        <v>0</v>
      </c>
      <c r="G20" s="762"/>
      <c r="H20" s="765"/>
      <c r="I20" s="765"/>
      <c r="J20" s="766"/>
      <c r="K20" s="767"/>
      <c r="L20" s="902"/>
      <c r="M20" s="903" t="s">
        <v>335</v>
      </c>
      <c r="N20" s="1108"/>
      <c r="O20" s="1108"/>
      <c r="P20" s="905">
        <f>+O20-N20</f>
        <v>0</v>
      </c>
      <c r="Q20" s="767"/>
    </row>
    <row r="21" spans="3:17" ht="12.75">
      <c r="C21" s="768" t="s">
        <v>320</v>
      </c>
      <c r="D21" s="901">
        <f>'KP TCOS'!H267</f>
        <v>0.43677871065580137</v>
      </c>
      <c r="E21" s="761">
        <f>+F16</f>
        <v>0.1149</v>
      </c>
      <c r="F21" s="769">
        <f>E21*D21</f>
        <v>0.05018587385435158</v>
      </c>
      <c r="G21" s="769"/>
      <c r="H21" s="765"/>
      <c r="I21" s="765"/>
      <c r="J21" s="766"/>
      <c r="K21" s="767"/>
      <c r="L21" s="902"/>
      <c r="M21" s="903" t="str">
        <f>"True-up of ARR For "&amp;'KP TCOS'!L2&amp;""</f>
        <v>True-up of ARR For 2017</v>
      </c>
      <c r="N21" s="827">
        <f>+N20-N19</f>
        <v>0</v>
      </c>
      <c r="O21" s="827">
        <f>+O20-O19</f>
        <v>0</v>
      </c>
      <c r="P21" s="906">
        <f>+P20-P19</f>
        <v>0</v>
      </c>
      <c r="Q21" s="767"/>
    </row>
    <row r="22" spans="3:17" ht="12.75">
      <c r="C22" s="770"/>
      <c r="D22" s="441"/>
      <c r="E22" s="771" t="s">
        <v>336</v>
      </c>
      <c r="F22" s="762">
        <f>SUM(F19:F21)</f>
        <v>0.08083346385427809</v>
      </c>
      <c r="G22" s="762"/>
      <c r="H22" s="765"/>
      <c r="I22" s="765"/>
      <c r="J22" s="766"/>
      <c r="K22" s="767"/>
      <c r="L22" s="902"/>
      <c r="M22" s="739"/>
      <c r="N22" s="739"/>
      <c r="O22" s="739"/>
      <c r="P22" s="900"/>
      <c r="Q22" s="767"/>
    </row>
    <row r="23" spans="3:17" ht="13.5" thickBot="1">
      <c r="C23" s="479"/>
      <c r="D23" s="776"/>
      <c r="E23" s="776"/>
      <c r="F23" s="765"/>
      <c r="G23" s="765"/>
      <c r="H23" s="765"/>
      <c r="I23" s="765"/>
      <c r="J23" s="765"/>
      <c r="K23" s="777"/>
      <c r="L23" s="907"/>
      <c r="M23" s="908"/>
      <c r="N23" s="909"/>
      <c r="O23" s="909"/>
      <c r="P23" s="905"/>
      <c r="Q23" s="777"/>
    </row>
    <row r="24" spans="3:17" ht="15.75">
      <c r="C24" s="747" t="str">
        <f>"B.   Determine Return using 'R' with hypothetical "&amp;F15&amp;" basis point ROE increase for Identified Projects."</f>
        <v>B.   Determine Return using 'R' with hypothetical 0 basis point ROE increase for Identified Projects.</v>
      </c>
      <c r="D24" s="776"/>
      <c r="E24" s="776"/>
      <c r="F24" s="781"/>
      <c r="G24" s="781"/>
      <c r="H24" s="765"/>
      <c r="I24" s="749"/>
      <c r="J24" s="765"/>
      <c r="K24" s="777"/>
      <c r="L24" s="765"/>
      <c r="M24" s="765"/>
      <c r="N24" s="765"/>
      <c r="O24" s="765"/>
      <c r="P24" s="765"/>
      <c r="Q24" s="777"/>
    </row>
    <row r="25" spans="3:17" ht="12.75">
      <c r="C25" s="752"/>
      <c r="D25" s="776"/>
      <c r="E25" s="776"/>
      <c r="F25" s="777"/>
      <c r="G25" s="777"/>
      <c r="H25" s="777"/>
      <c r="I25" s="777"/>
      <c r="J25" s="777"/>
      <c r="K25" s="777"/>
      <c r="L25" s="777"/>
      <c r="M25" s="777"/>
      <c r="N25" s="777"/>
      <c r="O25" s="777"/>
      <c r="P25" s="777"/>
      <c r="Q25" s="777"/>
    </row>
    <row r="26" spans="3:17" ht="12.75">
      <c r="C26" s="786" t="str">
        <f>"   Rate Base  (TCOS, ln "&amp;'KP TCOS'!B133&amp;")"</f>
        <v>   Rate Base  (TCOS, ln 79)</v>
      </c>
      <c r="D26" s="749"/>
      <c r="E26" s="787">
        <f>'KP TCOS'!L133</f>
        <v>306006341.17711055</v>
      </c>
      <c r="F26" s="910"/>
      <c r="G26" s="910"/>
      <c r="H26" s="777"/>
      <c r="I26" s="777"/>
      <c r="J26" s="777"/>
      <c r="K26" s="777"/>
      <c r="L26" s="777"/>
      <c r="M26" s="777"/>
      <c r="N26" s="777"/>
      <c r="O26" s="777"/>
      <c r="P26" s="910"/>
      <c r="Q26" s="777"/>
    </row>
    <row r="27" spans="3:17" ht="12.75">
      <c r="C27" s="752" t="s">
        <v>602</v>
      </c>
      <c r="D27" s="789"/>
      <c r="E27" s="762">
        <f>F22</f>
        <v>0.08083346385427809</v>
      </c>
      <c r="F27" s="777"/>
      <c r="G27" s="777"/>
      <c r="H27" s="777"/>
      <c r="I27" s="777"/>
      <c r="J27" s="777"/>
      <c r="K27" s="777"/>
      <c r="L27" s="777"/>
      <c r="M27" s="777"/>
      <c r="N27" s="777"/>
      <c r="O27" s="777"/>
      <c r="P27" s="777"/>
      <c r="Q27" s="777"/>
    </row>
    <row r="28" spans="3:17" ht="12.75">
      <c r="C28" s="790" t="s">
        <v>338</v>
      </c>
      <c r="D28" s="790"/>
      <c r="E28" s="766">
        <f>E26*E27</f>
        <v>24735552.518719856</v>
      </c>
      <c r="F28" s="777"/>
      <c r="G28" s="777"/>
      <c r="H28" s="777"/>
      <c r="I28" s="777"/>
      <c r="J28" s="767"/>
      <c r="K28" s="767"/>
      <c r="L28" s="767"/>
      <c r="M28" s="767"/>
      <c r="N28" s="767"/>
      <c r="O28" s="767"/>
      <c r="P28" s="777"/>
      <c r="Q28" s="767"/>
    </row>
    <row r="29" spans="3:17" ht="12.75">
      <c r="C29" s="791"/>
      <c r="D29" s="751"/>
      <c r="E29" s="751"/>
      <c r="F29" s="777"/>
      <c r="G29" s="777"/>
      <c r="H29" s="777"/>
      <c r="I29" s="777"/>
      <c r="J29" s="767"/>
      <c r="K29" s="767"/>
      <c r="L29" s="767"/>
      <c r="M29" s="767"/>
      <c r="N29" s="767"/>
      <c r="O29" s="767"/>
      <c r="P29" s="777"/>
      <c r="Q29" s="767"/>
    </row>
    <row r="30" spans="3:17" ht="15.75">
      <c r="C30" s="747" t="str">
        <f>"C.   Determine Income Taxes using Return with hypothetical "&amp;F15&amp;" basis point ROE increase for Identified Projects."</f>
        <v>C.   Determine Income Taxes using Return with hypothetical 0 basis point ROE increase for Identified Projects.</v>
      </c>
      <c r="D30" s="792"/>
      <c r="E30" s="792"/>
      <c r="F30" s="793"/>
      <c r="G30" s="793"/>
      <c r="H30" s="793"/>
      <c r="I30" s="793"/>
      <c r="J30" s="794"/>
      <c r="K30" s="794"/>
      <c r="L30" s="794"/>
      <c r="M30" s="794"/>
      <c r="N30" s="794"/>
      <c r="O30" s="794"/>
      <c r="P30" s="793"/>
      <c r="Q30" s="794"/>
    </row>
    <row r="31" spans="3:17" ht="12.75">
      <c r="C31" s="770"/>
      <c r="D31" s="751"/>
      <c r="E31" s="751"/>
      <c r="F31" s="777"/>
      <c r="G31" s="777"/>
      <c r="H31" s="777"/>
      <c r="I31" s="777"/>
      <c r="J31" s="767"/>
      <c r="K31" s="767"/>
      <c r="L31" s="767"/>
      <c r="M31" s="767"/>
      <c r="N31" s="767"/>
      <c r="O31" s="767"/>
      <c r="P31" s="777"/>
      <c r="Q31" s="767"/>
    </row>
    <row r="32" spans="3:17" ht="12.75">
      <c r="C32" s="752" t="s">
        <v>339</v>
      </c>
      <c r="D32" s="771"/>
      <c r="E32" s="795">
        <f>E28</f>
        <v>24735552.518719856</v>
      </c>
      <c r="F32" s="777"/>
      <c r="G32" s="777"/>
      <c r="H32" s="777"/>
      <c r="I32" s="777"/>
      <c r="J32" s="777"/>
      <c r="K32" s="777"/>
      <c r="L32" s="777"/>
      <c r="M32" s="777"/>
      <c r="N32" s="777"/>
      <c r="O32" s="777"/>
      <c r="P32" s="777"/>
      <c r="Q32" s="777"/>
    </row>
    <row r="33" spans="3:17" ht="12.75">
      <c r="C33" s="786" t="str">
        <f>"   Effective Tax Rate  (TCOS, ln "&amp;'KP TCOS'!B200&amp;")"</f>
        <v>   Effective Tax Rate  (TCOS, ln 127)</v>
      </c>
      <c r="D33" s="714"/>
      <c r="E33" s="796">
        <f>'KP TCOS'!G200</f>
        <v>0.39397887095353085</v>
      </c>
      <c r="F33" s="680"/>
      <c r="G33" s="680"/>
      <c r="H33" s="680"/>
      <c r="I33" s="797"/>
      <c r="J33" s="680"/>
      <c r="K33" s="739"/>
      <c r="Q33" s="739"/>
    </row>
    <row r="34" spans="3:17" ht="12.75">
      <c r="C34" s="791" t="s">
        <v>340</v>
      </c>
      <c r="D34" s="714"/>
      <c r="E34" s="798">
        <f>E32*E33</f>
        <v>9745285.053737015</v>
      </c>
      <c r="F34" s="680"/>
      <c r="G34" s="680"/>
      <c r="H34" s="680"/>
      <c r="I34" s="797"/>
      <c r="J34" s="680"/>
      <c r="K34" s="739"/>
      <c r="Q34" s="739"/>
    </row>
    <row r="35" spans="3:17" ht="15">
      <c r="C35" s="770" t="s">
        <v>379</v>
      </c>
      <c r="D35" s="601"/>
      <c r="E35" s="799">
        <f>'KP TCOS'!L209</f>
        <v>-9114.351471152584</v>
      </c>
      <c r="F35" s="601"/>
      <c r="G35" s="601"/>
      <c r="H35" s="601"/>
      <c r="I35" s="601"/>
      <c r="J35" s="601"/>
      <c r="K35" s="601"/>
      <c r="L35" s="601"/>
      <c r="M35" s="601"/>
      <c r="N35" s="601"/>
      <c r="O35" s="601"/>
      <c r="P35" s="501"/>
      <c r="Q35" s="601"/>
    </row>
    <row r="36" spans="3:17" ht="15">
      <c r="C36" s="770" t="s">
        <v>698</v>
      </c>
      <c r="D36" s="601"/>
      <c r="E36" s="799">
        <f>'KP TCOS'!L210</f>
        <v>-49037.23560757135</v>
      </c>
      <c r="F36" s="601"/>
      <c r="G36" s="601"/>
      <c r="H36" s="601"/>
      <c r="I36" s="601"/>
      <c r="J36" s="601"/>
      <c r="K36" s="601"/>
      <c r="L36" s="601"/>
      <c r="M36" s="601"/>
      <c r="N36" s="601"/>
      <c r="O36" s="601"/>
      <c r="P36" s="501"/>
      <c r="Q36" s="601"/>
    </row>
    <row r="37" spans="3:17" ht="15">
      <c r="C37" s="770" t="s">
        <v>699</v>
      </c>
      <c r="D37" s="601"/>
      <c r="E37" s="800">
        <f>'KP TCOS'!L211</f>
        <v>2206687.044362352</v>
      </c>
      <c r="F37" s="601"/>
      <c r="G37" s="601"/>
      <c r="H37" s="601"/>
      <c r="I37" s="601"/>
      <c r="J37" s="601"/>
      <c r="K37" s="601"/>
      <c r="L37" s="601"/>
      <c r="M37" s="601"/>
      <c r="N37" s="601"/>
      <c r="O37" s="601"/>
      <c r="P37" s="501"/>
      <c r="Q37" s="601"/>
    </row>
    <row r="38" spans="3:17" ht="15">
      <c r="C38" s="791" t="s">
        <v>341</v>
      </c>
      <c r="D38" s="601"/>
      <c r="E38" s="799">
        <f>E34+E35+E36+E37</f>
        <v>11893820.511020642</v>
      </c>
      <c r="F38" s="601"/>
      <c r="G38" s="601"/>
      <c r="H38" s="601"/>
      <c r="I38" s="601"/>
      <c r="J38" s="601"/>
      <c r="K38" s="601"/>
      <c r="L38" s="601"/>
      <c r="M38" s="601"/>
      <c r="N38" s="601"/>
      <c r="O38" s="601"/>
      <c r="P38" s="457"/>
      <c r="Q38" s="601"/>
    </row>
    <row r="39" spans="3:17" ht="12.75" customHeight="1">
      <c r="C39" s="510"/>
      <c r="D39" s="601"/>
      <c r="E39" s="601"/>
      <c r="F39" s="601"/>
      <c r="G39" s="601"/>
      <c r="H39" s="601"/>
      <c r="I39" s="601"/>
      <c r="J39" s="601"/>
      <c r="K39" s="601"/>
      <c r="L39" s="601"/>
      <c r="M39" s="601"/>
      <c r="N39" s="601"/>
      <c r="O39" s="601"/>
      <c r="P39" s="457"/>
      <c r="Q39" s="601"/>
    </row>
    <row r="40" spans="2:17" ht="18.75">
      <c r="B40" s="746" t="s">
        <v>204</v>
      </c>
      <c r="C40" s="745" t="str">
        <f>"Calculate Net Plant Carrying Charge Rate (Fixed Charge Rate or FCR) with hypothetical "&amp;F15&amp;""</f>
        <v>Calculate Net Plant Carrying Charge Rate (Fixed Charge Rate or FCR) with hypothetical 0</v>
      </c>
      <c r="D40" s="601"/>
      <c r="E40" s="601"/>
      <c r="F40" s="601"/>
      <c r="G40" s="601"/>
      <c r="H40" s="601"/>
      <c r="I40" s="601"/>
      <c r="J40" s="601"/>
      <c r="K40" s="601"/>
      <c r="L40" s="601"/>
      <c r="M40" s="601"/>
      <c r="N40" s="601"/>
      <c r="O40" s="601"/>
      <c r="P40" s="457"/>
      <c r="Q40" s="601"/>
    </row>
    <row r="41" spans="3:17" ht="18.75" customHeight="1">
      <c r="C41" s="745" t="str">
        <f>"basis point ROE increase."</f>
        <v>basis point ROE increase.</v>
      </c>
      <c r="D41" s="601"/>
      <c r="E41" s="601"/>
      <c r="F41" s="601"/>
      <c r="G41" s="601"/>
      <c r="H41" s="601"/>
      <c r="I41" s="601"/>
      <c r="J41" s="601"/>
      <c r="K41" s="601"/>
      <c r="L41" s="601"/>
      <c r="M41" s="601"/>
      <c r="N41" s="601"/>
      <c r="O41" s="601"/>
      <c r="P41" s="457"/>
      <c r="Q41" s="601"/>
    </row>
    <row r="42" spans="3:17" ht="12.75" customHeight="1">
      <c r="C42" s="745"/>
      <c r="D42" s="601"/>
      <c r="E42" s="601"/>
      <c r="F42" s="601"/>
      <c r="G42" s="601"/>
      <c r="H42" s="601"/>
      <c r="I42" s="601"/>
      <c r="J42" s="601"/>
      <c r="K42" s="601"/>
      <c r="L42" s="601"/>
      <c r="M42" s="601"/>
      <c r="N42" s="601"/>
      <c r="O42" s="601"/>
      <c r="P42" s="457"/>
      <c r="Q42" s="601"/>
    </row>
    <row r="43" spans="3:17" ht="15.75">
      <c r="C43" s="747" t="s">
        <v>591</v>
      </c>
      <c r="D43" s="601"/>
      <c r="E43" s="601"/>
      <c r="F43" s="600"/>
      <c r="G43" s="600"/>
      <c r="H43" s="601"/>
      <c r="I43" s="601"/>
      <c r="J43" s="601"/>
      <c r="K43" s="601"/>
      <c r="L43" s="601"/>
      <c r="M43" s="601"/>
      <c r="N43" s="601"/>
      <c r="O43" s="601"/>
      <c r="P43" s="457"/>
      <c r="Q43" s="601"/>
    </row>
    <row r="44" spans="2:17" ht="12.75">
      <c r="B44" s="727"/>
      <c r="C44" s="748"/>
      <c r="D44" s="801"/>
      <c r="E44" s="801"/>
      <c r="F44" s="801"/>
      <c r="G44" s="801"/>
      <c r="H44" s="801"/>
      <c r="I44" s="801"/>
      <c r="J44" s="801"/>
      <c r="K44" s="801"/>
      <c r="L44" s="801"/>
      <c r="M44" s="801"/>
      <c r="N44" s="801"/>
      <c r="O44" s="801"/>
      <c r="P44" s="799"/>
      <c r="Q44" s="801"/>
    </row>
    <row r="45" spans="2:17" ht="12.75" customHeight="1">
      <c r="B45" s="727"/>
      <c r="C45" s="786" t="str">
        <f>"   Annual Revenue Requirement  (TCOS, ln "&amp;'KP TCOS'!B11&amp;")"</f>
        <v>   Annual Revenue Requirement  (TCOS, ln 1)</v>
      </c>
      <c r="D45" s="801"/>
      <c r="E45" s="801"/>
      <c r="F45" s="799">
        <f>'KP TCOS'!L11</f>
        <v>65996191.56029514</v>
      </c>
      <c r="G45" s="799"/>
      <c r="H45" s="911" t="s">
        <v>146</v>
      </c>
      <c r="I45" s="801"/>
      <c r="J45" s="801"/>
      <c r="K45" s="801"/>
      <c r="L45" s="801"/>
      <c r="M45" s="801"/>
      <c r="N45" s="801"/>
      <c r="O45" s="801"/>
      <c r="P45" s="799"/>
      <c r="Q45" s="801"/>
    </row>
    <row r="46" spans="2:17" ht="12.75" customHeight="1">
      <c r="B46" s="727"/>
      <c r="C46" s="786" t="str">
        <f>"   Lease Payments (TCOS, Ln "&amp;'KP TCOS'!B177&amp;")"</f>
        <v>   Lease Payments (TCOS, Ln 107)</v>
      </c>
      <c r="D46" s="801"/>
      <c r="E46" s="801"/>
      <c r="F46" s="799">
        <f>'KP TCOS'!L176+'KP TCOS'!L177</f>
        <v>0</v>
      </c>
      <c r="G46" s="799"/>
      <c r="H46" s="911"/>
      <c r="I46" s="801"/>
      <c r="J46" s="801"/>
      <c r="K46" s="801"/>
      <c r="L46" s="801"/>
      <c r="M46" s="801"/>
      <c r="N46" s="801"/>
      <c r="O46" s="801"/>
      <c r="P46" s="799"/>
      <c r="Q46" s="801"/>
    </row>
    <row r="47" spans="2:17" ht="12.75">
      <c r="B47" s="727"/>
      <c r="C47" s="786" t="str">
        <f>"   Return  (TCOS, ln "&amp;'KP TCOS'!B215&amp;")"</f>
        <v>   Return  (TCOS, ln 139)</v>
      </c>
      <c r="D47" s="801"/>
      <c r="E47" s="801"/>
      <c r="F47" s="802">
        <f>'KP TCOS'!L215</f>
        <v>24735552.518719856</v>
      </c>
      <c r="G47" s="802"/>
      <c r="H47" s="803"/>
      <c r="I47" s="803"/>
      <c r="J47" s="803"/>
      <c r="K47" s="803"/>
      <c r="L47" s="803"/>
      <c r="M47" s="803"/>
      <c r="N47" s="803"/>
      <c r="O47" s="803"/>
      <c r="P47" s="799"/>
      <c r="Q47" s="803"/>
    </row>
    <row r="48" spans="2:17" ht="12.75">
      <c r="B48" s="727"/>
      <c r="C48" s="786" t="str">
        <f>"   Income Taxes  (TCOS, ln "&amp;'KP TCOS'!B213&amp;")"</f>
        <v>   Income Taxes  (TCOS, ln 138)</v>
      </c>
      <c r="D48" s="801"/>
      <c r="E48" s="801"/>
      <c r="F48" s="804">
        <f>'KP TCOS'!L213</f>
        <v>11893820.511020642</v>
      </c>
      <c r="G48" s="804"/>
      <c r="H48" s="801"/>
      <c r="I48" s="801"/>
      <c r="J48" s="805"/>
      <c r="K48" s="805"/>
      <c r="L48" s="805"/>
      <c r="M48" s="805"/>
      <c r="N48" s="805"/>
      <c r="O48" s="805"/>
      <c r="P48" s="801"/>
      <c r="Q48" s="805"/>
    </row>
    <row r="49" spans="2:17" ht="12.75">
      <c r="B49" s="727"/>
      <c r="C49" s="1238" t="s">
        <v>762</v>
      </c>
      <c r="D49" s="1189"/>
      <c r="E49" s="801"/>
      <c r="F49" s="802">
        <f>F45-F47-F48-F46</f>
        <v>29366818.53055464</v>
      </c>
      <c r="G49" s="802"/>
      <c r="H49" s="807"/>
      <c r="I49" s="801"/>
      <c r="J49" s="807"/>
      <c r="K49" s="807"/>
      <c r="L49" s="807"/>
      <c r="M49" s="807"/>
      <c r="N49" s="807"/>
      <c r="O49" s="807"/>
      <c r="P49" s="807"/>
      <c r="Q49" s="807"/>
    </row>
    <row r="50" spans="2:17" ht="12.75">
      <c r="B50" s="727"/>
      <c r="C50" s="1189"/>
      <c r="D50" s="1189"/>
      <c r="E50" s="801"/>
      <c r="F50" s="799"/>
      <c r="G50" s="799"/>
      <c r="H50" s="808"/>
      <c r="I50" s="809"/>
      <c r="J50" s="809"/>
      <c r="K50" s="809"/>
      <c r="L50" s="809"/>
      <c r="M50" s="809"/>
      <c r="N50" s="809"/>
      <c r="O50" s="809"/>
      <c r="P50" s="809"/>
      <c r="Q50" s="809"/>
    </row>
    <row r="51" spans="2:17" ht="15.75">
      <c r="B51" s="727"/>
      <c r="C51" s="747" t="str">
        <f>"B.   Determine Annual Revenue Requirement with hypothetical "&amp;F15&amp;" basis point increase in ROE."</f>
        <v>B.   Determine Annual Revenue Requirement with hypothetical 0 basis point increase in ROE.</v>
      </c>
      <c r="D51" s="810"/>
      <c r="E51" s="810"/>
      <c r="F51" s="799"/>
      <c r="G51" s="799"/>
      <c r="H51" s="808"/>
      <c r="I51" s="809"/>
      <c r="J51" s="809"/>
      <c r="K51" s="809"/>
      <c r="L51" s="809"/>
      <c r="M51" s="809"/>
      <c r="N51" s="809"/>
      <c r="O51" s="809"/>
      <c r="P51" s="809"/>
      <c r="Q51" s="809"/>
    </row>
    <row r="52" spans="2:17" ht="12.75">
      <c r="B52" s="727"/>
      <c r="C52" s="748"/>
      <c r="D52" s="810"/>
      <c r="E52" s="810"/>
      <c r="F52" s="799"/>
      <c r="G52" s="799"/>
      <c r="H52" s="808"/>
      <c r="I52" s="809"/>
      <c r="J52" s="809"/>
      <c r="K52" s="809"/>
      <c r="L52" s="809"/>
      <c r="M52" s="809"/>
      <c r="N52" s="809"/>
      <c r="O52" s="809"/>
      <c r="P52" s="809"/>
      <c r="Q52" s="809"/>
    </row>
    <row r="53" spans="2:17" ht="12.75">
      <c r="B53" s="727"/>
      <c r="C53" s="748" t="str">
        <f>C49</f>
        <v>   Annual Revenue Requirement, Less Lease Payments, Return and Taxes</v>
      </c>
      <c r="D53" s="810"/>
      <c r="E53" s="810"/>
      <c r="F53" s="799">
        <f>F49</f>
        <v>29366818.53055464</v>
      </c>
      <c r="G53" s="799"/>
      <c r="H53" s="801"/>
      <c r="I53" s="801"/>
      <c r="J53" s="801"/>
      <c r="K53" s="801"/>
      <c r="L53" s="801"/>
      <c r="M53" s="801"/>
      <c r="N53" s="801"/>
      <c r="O53" s="801"/>
      <c r="P53" s="811"/>
      <c r="Q53" s="801"/>
    </row>
    <row r="54" spans="2:17" ht="12.75">
      <c r="B54" s="727"/>
      <c r="C54" s="752" t="s">
        <v>376</v>
      </c>
      <c r="D54" s="812"/>
      <c r="E54" s="806"/>
      <c r="F54" s="813">
        <f>E28</f>
        <v>24735552.518719856</v>
      </c>
      <c r="G54" s="813"/>
      <c r="H54" s="806"/>
      <c r="I54" s="814"/>
      <c r="J54" s="806"/>
      <c r="K54" s="806"/>
      <c r="L54" s="806"/>
      <c r="M54" s="806"/>
      <c r="N54" s="806"/>
      <c r="O54" s="806"/>
      <c r="P54" s="806"/>
      <c r="Q54" s="806"/>
    </row>
    <row r="55" spans="2:17" ht="12.75" customHeight="1">
      <c r="B55" s="727"/>
      <c r="C55" s="770" t="s">
        <v>342</v>
      </c>
      <c r="D55" s="801"/>
      <c r="E55" s="801"/>
      <c r="F55" s="804">
        <f>E38</f>
        <v>11893820.511020642</v>
      </c>
      <c r="G55" s="804"/>
      <c r="H55" s="680"/>
      <c r="I55" s="797"/>
      <c r="J55" s="680"/>
      <c r="K55" s="739"/>
      <c r="Q55" s="739"/>
    </row>
    <row r="56" spans="2:17" ht="12.75">
      <c r="B56" s="727"/>
      <c r="C56" s="806" t="str">
        <f>"   Annual Revenue Requirement, with "&amp;F15&amp;" Basis Point ROE increase"</f>
        <v>   Annual Revenue Requirement, with 0 Basis Point ROE increase</v>
      </c>
      <c r="D56" s="714"/>
      <c r="E56" s="680"/>
      <c r="F56" s="798">
        <f>SUM(F53:F55)</f>
        <v>65996191.560295135</v>
      </c>
      <c r="G56" s="798"/>
      <c r="H56" s="680"/>
      <c r="I56" s="797"/>
      <c r="J56" s="680"/>
      <c r="K56" s="739"/>
      <c r="Q56" s="739"/>
    </row>
    <row r="57" spans="2:17" ht="12.75">
      <c r="B57" s="727"/>
      <c r="C57" s="786" t="str">
        <f>"   Depreciation  (TCOS, ln "&amp;'KP TCOS'!B183&amp;")"</f>
        <v>   Depreciation  (TCOS, ln 112)</v>
      </c>
      <c r="D57" s="714"/>
      <c r="E57" s="680"/>
      <c r="F57" s="815">
        <f>'KP TCOS'!L183</f>
        <v>15375284.193322305</v>
      </c>
      <c r="G57" s="815"/>
      <c r="H57" s="798"/>
      <c r="I57" s="797"/>
      <c r="J57" s="680"/>
      <c r="K57" s="739"/>
      <c r="Q57" s="739"/>
    </row>
    <row r="58" spans="2:17" ht="12.75">
      <c r="B58" s="727"/>
      <c r="C58" s="1238" t="str">
        <f>"   Annual Rev. Req, w/ "&amp;F15&amp;" Basis Point ROE increase, less Depreciation"</f>
        <v>   Annual Rev. Req, w/ 0 Basis Point ROE increase, less Depreciation</v>
      </c>
      <c r="D58" s="1189"/>
      <c r="E58" s="680"/>
      <c r="F58" s="798">
        <f>F56-F57</f>
        <v>50620907.366972834</v>
      </c>
      <c r="G58" s="798"/>
      <c r="H58" s="680"/>
      <c r="I58" s="797"/>
      <c r="J58" s="680"/>
      <c r="K58" s="739"/>
      <c r="Q58" s="739"/>
    </row>
    <row r="59" spans="2:17" ht="12.75">
      <c r="B59" s="727"/>
      <c r="C59" s="1189"/>
      <c r="D59" s="1189"/>
      <c r="E59" s="680"/>
      <c r="F59" s="680"/>
      <c r="G59" s="680"/>
      <c r="H59" s="680"/>
      <c r="I59" s="797"/>
      <c r="J59" s="680"/>
      <c r="K59" s="739"/>
      <c r="Q59" s="739"/>
    </row>
    <row r="60" spans="2:17" ht="15.75">
      <c r="B60" s="727"/>
      <c r="C60" s="747" t="str">
        <f>"C.   Determine FCR with hypothetical "&amp;F15&amp;" basis point ROE increase."</f>
        <v>C.   Determine FCR with hypothetical 0 basis point ROE increase.</v>
      </c>
      <c r="D60" s="714"/>
      <c r="E60" s="680"/>
      <c r="F60" s="680"/>
      <c r="G60" s="680"/>
      <c r="H60" s="680"/>
      <c r="I60" s="797"/>
      <c r="J60" s="680"/>
      <c r="K60" s="739"/>
      <c r="Q60" s="739"/>
    </row>
    <row r="61" spans="2:17" ht="12.75">
      <c r="B61" s="727"/>
      <c r="C61" s="680"/>
      <c r="D61" s="714"/>
      <c r="E61" s="680"/>
      <c r="F61" s="680"/>
      <c r="G61" s="680"/>
      <c r="H61" s="680"/>
      <c r="I61" s="797"/>
      <c r="J61" s="680"/>
      <c r="K61" s="739"/>
      <c r="Q61" s="739"/>
    </row>
    <row r="62" spans="2:17" ht="12.75">
      <c r="B62" s="727"/>
      <c r="C62" s="786" t="str">
        <f>"   Net Transmission Plant  (TCOS, ln "&amp;'KP TCOS'!B96&amp;")"</f>
        <v>   Net Transmission Plant  (TCOS, ln 49)</v>
      </c>
      <c r="D62" s="714"/>
      <c r="E62" s="680"/>
      <c r="F62" s="798">
        <f>'KP TCOS'!L96</f>
        <v>378923046.5</v>
      </c>
      <c r="G62" s="798"/>
      <c r="H62" s="798"/>
      <c r="I62" s="816"/>
      <c r="J62" s="680"/>
      <c r="K62" s="739"/>
      <c r="Q62" s="739"/>
    </row>
    <row r="63" spans="2:17" ht="12.75">
      <c r="B63" s="727"/>
      <c r="C63" s="806" t="str">
        <f>"   Annual Revenue Requirement, with "&amp;F15&amp;" Basis Point ROE increase"</f>
        <v>   Annual Revenue Requirement, with 0 Basis Point ROE increase</v>
      </c>
      <c r="D63" s="714"/>
      <c r="E63" s="680"/>
      <c r="F63" s="798">
        <f>F56</f>
        <v>65996191.560295135</v>
      </c>
      <c r="G63" s="798"/>
      <c r="H63" s="680"/>
      <c r="I63" s="797"/>
      <c r="J63" s="680"/>
      <c r="K63" s="739"/>
      <c r="Q63" s="739"/>
    </row>
    <row r="64" spans="2:17" ht="12.75">
      <c r="B64" s="727"/>
      <c r="C64" s="806" t="str">
        <f>"   FCR with "&amp;F15&amp;" Basis Point increase in ROE"</f>
        <v>   FCR with 0 Basis Point increase in ROE</v>
      </c>
      <c r="D64" s="714"/>
      <c r="E64" s="680"/>
      <c r="F64" s="796">
        <f>F63/F62</f>
        <v>0.174167795202436</v>
      </c>
      <c r="G64" s="796"/>
      <c r="H64" s="796"/>
      <c r="I64" s="797"/>
      <c r="J64" s="680"/>
      <c r="K64" s="739"/>
      <c r="Q64" s="739"/>
    </row>
    <row r="65" spans="2:17" ht="12.75">
      <c r="B65" s="727"/>
      <c r="C65" s="479"/>
      <c r="D65" s="714"/>
      <c r="E65" s="680"/>
      <c r="F65" s="727"/>
      <c r="G65" s="727"/>
      <c r="H65" s="680"/>
      <c r="I65" s="797"/>
      <c r="J65" s="680"/>
      <c r="K65" s="739"/>
      <c r="Q65" s="739"/>
    </row>
    <row r="66" spans="2:17" ht="12.75">
      <c r="B66" s="727"/>
      <c r="C66" s="806" t="str">
        <f>"   Annual Rev. Req, w / "&amp;F15&amp;" Basis Point ROE increase, less Dep."</f>
        <v>   Annual Rev. Req, w / 0 Basis Point ROE increase, less Dep.</v>
      </c>
      <c r="D66" s="714"/>
      <c r="E66" s="680"/>
      <c r="F66" s="798">
        <f>F58</f>
        <v>50620907.366972834</v>
      </c>
      <c r="G66" s="798"/>
      <c r="H66" s="680"/>
      <c r="I66" s="797"/>
      <c r="J66" s="680"/>
      <c r="K66" s="739"/>
      <c r="Q66" s="739"/>
    </row>
    <row r="67" spans="2:17" ht="12.75">
      <c r="B67" s="727"/>
      <c r="C67" s="806" t="str">
        <f>"   FCR with "&amp;F15&amp;" Basis Point ROE increase, less Depreciation"</f>
        <v>   FCR with 0 Basis Point ROE increase, less Depreciation</v>
      </c>
      <c r="D67" s="714"/>
      <c r="E67" s="680"/>
      <c r="F67" s="796">
        <f>F66/F62</f>
        <v>0.1335915242805714</v>
      </c>
      <c r="G67" s="796"/>
      <c r="H67" s="680"/>
      <c r="I67" s="797"/>
      <c r="J67" s="680"/>
      <c r="K67" s="739"/>
      <c r="Q67" s="739"/>
    </row>
    <row r="68" spans="2:17" ht="12.75">
      <c r="B68" s="727"/>
      <c r="C68" s="786" t="str">
        <f>"   FCR less Depreciation  (TCOS, ln "&amp;'KP TCOS'!B32&amp;")"</f>
        <v>   FCR less Depreciation  (TCOS, ln 10)</v>
      </c>
      <c r="D68" s="714"/>
      <c r="E68" s="680"/>
      <c r="F68" s="817">
        <f>'KP TCOS'!L32</f>
        <v>0.1335915242805714</v>
      </c>
      <c r="G68" s="817"/>
      <c r="H68" s="680"/>
      <c r="I68" s="797"/>
      <c r="J68" s="680"/>
      <c r="K68" s="739"/>
      <c r="Q68" s="739"/>
    </row>
    <row r="69" spans="2:17" ht="12.75">
      <c r="B69" s="727"/>
      <c r="C69" s="1238" t="str">
        <f>"   Incremental FCR with "&amp;F15&amp;" Basis Point ROE increase, less Depreciation"</f>
        <v>   Incremental FCR with 0 Basis Point ROE increase, less Depreciation</v>
      </c>
      <c r="D69" s="1189"/>
      <c r="E69" s="680"/>
      <c r="F69" s="796">
        <f>F67-F68</f>
        <v>0</v>
      </c>
      <c r="G69" s="796"/>
      <c r="H69" s="680"/>
      <c r="I69" s="797"/>
      <c r="J69" s="680"/>
      <c r="K69" s="739"/>
      <c r="Q69" s="739"/>
    </row>
    <row r="70" spans="2:17" ht="12.75">
      <c r="B70" s="727"/>
      <c r="C70" s="1189"/>
      <c r="D70" s="1189"/>
      <c r="E70" s="680"/>
      <c r="F70" s="796"/>
      <c r="G70" s="796"/>
      <c r="H70" s="680"/>
      <c r="I70" s="797"/>
      <c r="J70" s="680"/>
      <c r="K70" s="739"/>
      <c r="Q70" s="739"/>
    </row>
    <row r="71" spans="2:17" ht="18.75">
      <c r="B71" s="746" t="s">
        <v>205</v>
      </c>
      <c r="C71" s="745" t="s">
        <v>343</v>
      </c>
      <c r="D71" s="714"/>
      <c r="E71" s="680"/>
      <c r="F71" s="796"/>
      <c r="G71" s="796"/>
      <c r="H71" s="680"/>
      <c r="I71" s="797"/>
      <c r="J71" s="680"/>
      <c r="K71" s="739"/>
      <c r="Q71" s="739"/>
    </row>
    <row r="72" spans="2:17" ht="12.75">
      <c r="B72" s="727"/>
      <c r="C72" s="806"/>
      <c r="D72" s="714"/>
      <c r="E72" s="680"/>
      <c r="F72" s="796"/>
      <c r="G72" s="796"/>
      <c r="H72" s="680"/>
      <c r="I72" s="797"/>
      <c r="J72" s="680"/>
      <c r="K72" s="739"/>
      <c r="Q72" s="739"/>
    </row>
    <row r="73" spans="2:17" ht="12.75">
      <c r="B73" s="727"/>
      <c r="C73" s="818" t="str">
        <f>"Transmission Plant @ Beginning of Rate Year ("&amp;'KP TCOS'!L2&amp;") (P. 206, Ln 58(b)):"</f>
        <v>Transmission Plant @ Beginning of Rate Year (2017) (P. 206, Ln 58(b)):</v>
      </c>
      <c r="D73" s="819"/>
      <c r="H73" s="820">
        <f>+'KP WS A  - RB Support '!F18</f>
        <v>570863459</v>
      </c>
      <c r="J73" s="680"/>
      <c r="K73" s="739"/>
      <c r="Q73" s="739"/>
    </row>
    <row r="74" spans="2:17" ht="12.75">
      <c r="B74" s="727"/>
      <c r="C74" s="818" t="str">
        <f>"Transmission Plant @ End of Rate Year ("&amp;'KP TCOS'!L2&amp;") (P. 207, Ln 58(g)):"</f>
        <v>Transmission Plant @ End of Rate Year (2017) (P. 207, Ln 58(g)):</v>
      </c>
      <c r="D74" s="819"/>
      <c r="H74" s="822">
        <f>+'KP WS A  - RB Support '!E18</f>
        <v>586428048</v>
      </c>
      <c r="J74" s="680"/>
      <c r="K74" s="739"/>
      <c r="Q74" s="739"/>
    </row>
    <row r="75" spans="2:17" ht="12.75">
      <c r="B75" s="727"/>
      <c r="C75" s="806" t="s">
        <v>598</v>
      </c>
      <c r="D75" s="714"/>
      <c r="H75" s="797">
        <f>+H74+H73</f>
        <v>1157291507</v>
      </c>
      <c r="J75" s="680"/>
      <c r="K75" s="739"/>
      <c r="Q75" s="739"/>
    </row>
    <row r="76" spans="2:17" ht="12.75">
      <c r="B76" s="727"/>
      <c r="C76" s="806" t="str">
        <f>+"Average Transmission Plant Balance for "&amp;'KP TCOS'!L2&amp;""</f>
        <v>Average Transmission Plant Balance for 2017</v>
      </c>
      <c r="D76" s="714"/>
      <c r="H76" s="797">
        <f>+H75/2</f>
        <v>578645753.5</v>
      </c>
      <c r="J76" s="680"/>
      <c r="K76" s="739"/>
      <c r="Q76" s="739"/>
    </row>
    <row r="77" spans="2:17" ht="12.75">
      <c r="B77" s="727"/>
      <c r="C77" s="818" t="str">
        <f>"Annual Depreciation and Amortization Expense (TCOS, ln "&amp;'KP TCOS'!B183&amp;")"</f>
        <v>Annual Depreciation and Amortization Expense (TCOS, ln 112)</v>
      </c>
      <c r="D77" s="714"/>
      <c r="E77" s="680"/>
      <c r="H77" s="820">
        <f>'KP TCOS'!L183</f>
        <v>15375284.193322305</v>
      </c>
      <c r="I77" s="797"/>
      <c r="J77" s="680"/>
      <c r="K77" s="739"/>
      <c r="Q77" s="739"/>
    </row>
    <row r="78" spans="2:17" ht="12.75">
      <c r="B78" s="727"/>
      <c r="C78" s="806" t="s">
        <v>344</v>
      </c>
      <c r="D78" s="714"/>
      <c r="E78" s="680"/>
      <c r="H78" s="796">
        <f>+H77/H76</f>
        <v>0.026571151866791164</v>
      </c>
      <c r="I78" s="823"/>
      <c r="J78" s="680"/>
      <c r="K78" s="739"/>
      <c r="Q78" s="739"/>
    </row>
    <row r="79" spans="2:17" ht="12.75">
      <c r="B79" s="727"/>
      <c r="C79" s="806" t="s">
        <v>345</v>
      </c>
      <c r="D79" s="714"/>
      <c r="E79" s="680"/>
      <c r="H79" s="823">
        <f>1/H78</f>
        <v>37.634800516488255</v>
      </c>
      <c r="I79" s="797"/>
      <c r="J79" s="680"/>
      <c r="K79" s="739"/>
      <c r="Q79" s="739"/>
    </row>
    <row r="80" spans="2:17" ht="12.75">
      <c r="B80" s="727"/>
      <c r="C80" s="806" t="s">
        <v>346</v>
      </c>
      <c r="D80" s="714"/>
      <c r="E80" s="680"/>
      <c r="H80" s="824">
        <f>ROUND(H79,0)</f>
        <v>38</v>
      </c>
      <c r="I80" s="797"/>
      <c r="J80" s="680"/>
      <c r="K80" s="739"/>
      <c r="Q80" s="739"/>
    </row>
    <row r="81" spans="2:17" ht="12.75">
      <c r="B81" s="727"/>
      <c r="C81" s="806"/>
      <c r="D81" s="714"/>
      <c r="E81" s="680"/>
      <c r="H81" s="824"/>
      <c r="I81" s="797"/>
      <c r="J81" s="680"/>
      <c r="K81" s="739"/>
      <c r="Q81" s="739"/>
    </row>
    <row r="82" spans="3:17" ht="12.75">
      <c r="C82" s="826"/>
      <c r="D82" s="827"/>
      <c r="E82" s="827"/>
      <c r="F82" s="827"/>
      <c r="G82" s="827"/>
      <c r="H82" s="821"/>
      <c r="I82" s="821"/>
      <c r="J82" s="828"/>
      <c r="K82" s="828"/>
      <c r="L82" s="828"/>
      <c r="M82" s="828"/>
      <c r="N82" s="828"/>
      <c r="O82" s="828"/>
      <c r="Q82" s="828"/>
    </row>
    <row r="83" spans="2:17" ht="20.25">
      <c r="B83" s="825" t="s">
        <v>841</v>
      </c>
      <c r="C83" s="680"/>
      <c r="D83" s="806"/>
      <c r="E83" s="714"/>
      <c r="F83" s="680"/>
      <c r="G83" s="796"/>
      <c r="H83" s="796"/>
      <c r="I83" s="680"/>
      <c r="J83" s="797"/>
      <c r="K83" s="441"/>
      <c r="L83" s="425"/>
      <c r="M83" s="912"/>
      <c r="N83" s="912"/>
      <c r="O83" s="912"/>
      <c r="P83" s="742" t="str">
        <f>"Page "&amp;SUM(R$6:R83)&amp;" of "</f>
        <v>Page 0 of </v>
      </c>
      <c r="Q83" s="743">
        <f>COUNT(R$6:R$59583)</f>
        <v>0</v>
      </c>
    </row>
    <row r="84" spans="2:12" ht="12.75">
      <c r="B84" s="441"/>
      <c r="C84" s="680"/>
      <c r="D84" s="680"/>
      <c r="E84" s="714"/>
      <c r="F84" s="680"/>
      <c r="G84" s="680"/>
      <c r="H84" s="680"/>
      <c r="I84" s="680"/>
      <c r="J84" s="797"/>
      <c r="K84" s="680"/>
      <c r="L84" s="739"/>
    </row>
    <row r="85" spans="2:15" ht="18">
      <c r="B85" s="746" t="s">
        <v>206</v>
      </c>
      <c r="C85" s="829" t="s">
        <v>367</v>
      </c>
      <c r="D85" s="714"/>
      <c r="E85" s="680"/>
      <c r="F85" s="680"/>
      <c r="G85" s="680"/>
      <c r="H85" s="680"/>
      <c r="I85" s="797"/>
      <c r="J85" s="797"/>
      <c r="K85" s="821"/>
      <c r="L85" s="797"/>
      <c r="M85" s="797"/>
      <c r="N85" s="797"/>
      <c r="O85" s="797"/>
    </row>
    <row r="86" spans="2:15" ht="18.75">
      <c r="B86" s="746"/>
      <c r="C86" s="745"/>
      <c r="D86" s="714"/>
      <c r="E86" s="680"/>
      <c r="F86" s="680"/>
      <c r="G86" s="680"/>
      <c r="H86" s="680"/>
      <c r="I86" s="797"/>
      <c r="J86" s="797"/>
      <c r="K86" s="821"/>
      <c r="L86" s="797"/>
      <c r="M86" s="797"/>
      <c r="N86" s="797"/>
      <c r="O86" s="797"/>
    </row>
    <row r="87" spans="2:15" ht="18.75">
      <c r="B87" s="746"/>
      <c r="C87" s="745" t="s">
        <v>368</v>
      </c>
      <c r="D87" s="714"/>
      <c r="E87" s="680"/>
      <c r="F87" s="680"/>
      <c r="G87" s="680"/>
      <c r="H87" s="680"/>
      <c r="I87" s="797"/>
      <c r="J87" s="797"/>
      <c r="K87" s="821"/>
      <c r="L87" s="797"/>
      <c r="M87" s="797"/>
      <c r="N87" s="797"/>
      <c r="O87" s="797"/>
    </row>
    <row r="88" spans="2:15" ht="15.75" thickBot="1">
      <c r="B88" s="441"/>
      <c r="C88" s="510"/>
      <c r="D88" s="714"/>
      <c r="E88" s="680"/>
      <c r="F88" s="680"/>
      <c r="G88" s="680"/>
      <c r="H88" s="680"/>
      <c r="I88" s="797"/>
      <c r="J88" s="797"/>
      <c r="K88" s="821"/>
      <c r="L88" s="797"/>
      <c r="M88" s="797"/>
      <c r="N88" s="797"/>
      <c r="O88" s="797"/>
    </row>
    <row r="89" spans="2:15" ht="15.75">
      <c r="B89" s="441"/>
      <c r="C89" s="747" t="s">
        <v>369</v>
      </c>
      <c r="D89" s="714"/>
      <c r="E89" s="680"/>
      <c r="F89" s="680"/>
      <c r="G89" s="680"/>
      <c r="H89" s="1100"/>
      <c r="I89" s="680" t="s">
        <v>347</v>
      </c>
      <c r="J89" s="680"/>
      <c r="K89" s="739"/>
      <c r="L89" s="913">
        <f>+J95</f>
        <v>0</v>
      </c>
      <c r="M89" s="895" t="s">
        <v>330</v>
      </c>
      <c r="N89" s="895" t="s">
        <v>331</v>
      </c>
      <c r="O89" s="896" t="s">
        <v>332</v>
      </c>
    </row>
    <row r="90" spans="2:15" ht="15.75">
      <c r="B90" s="441"/>
      <c r="C90" s="747"/>
      <c r="D90" s="714"/>
      <c r="E90" s="680"/>
      <c r="F90" s="680"/>
      <c r="H90" s="680"/>
      <c r="I90" s="834"/>
      <c r="J90" s="834"/>
      <c r="K90" s="835"/>
      <c r="L90" s="914" t="s">
        <v>581</v>
      </c>
      <c r="M90" s="915" t="e">
        <f>VLOOKUP(J95,C102:P161,10)</f>
        <v>#N/A</v>
      </c>
      <c r="N90" s="915" t="e">
        <f>VLOOKUP(J95,C102:P161,12)</f>
        <v>#N/A</v>
      </c>
      <c r="O90" s="916" t="e">
        <f>+N90-M90</f>
        <v>#N/A</v>
      </c>
    </row>
    <row r="91" spans="2:15" ht="12.75">
      <c r="B91" s="441"/>
      <c r="C91" s="839" t="s">
        <v>370</v>
      </c>
      <c r="D91" s="917"/>
      <c r="E91" s="680"/>
      <c r="F91" s="680"/>
      <c r="G91" s="680"/>
      <c r="H91" s="680"/>
      <c r="I91" s="797"/>
      <c r="J91" s="797"/>
      <c r="K91" s="821"/>
      <c r="L91" s="914" t="s">
        <v>582</v>
      </c>
      <c r="M91" s="918" t="e">
        <f>VLOOKUP(J95,C102:P161,6)</f>
        <v>#N/A</v>
      </c>
      <c r="N91" s="918" t="e">
        <f>VLOOKUP(J95,C102:P161,7)</f>
        <v>#N/A</v>
      </c>
      <c r="O91" s="919" t="e">
        <f>+N91-M91</f>
        <v>#N/A</v>
      </c>
    </row>
    <row r="92" spans="2:15" ht="13.5" thickBot="1">
      <c r="B92" s="441"/>
      <c r="C92" s="843"/>
      <c r="D92" s="844"/>
      <c r="E92" s="824"/>
      <c r="F92" s="824"/>
      <c r="G92" s="824"/>
      <c r="H92" s="845"/>
      <c r="I92" s="797"/>
      <c r="J92" s="797"/>
      <c r="K92" s="821"/>
      <c r="L92" s="862" t="s">
        <v>583</v>
      </c>
      <c r="M92" s="920" t="e">
        <f>+M91-M90</f>
        <v>#N/A</v>
      </c>
      <c r="N92" s="920" t="e">
        <f>+N91-N90</f>
        <v>#N/A</v>
      </c>
      <c r="O92" s="921" t="e">
        <f>+O91-O90</f>
        <v>#N/A</v>
      </c>
    </row>
    <row r="93" spans="2:16" ht="13.5" thickBot="1">
      <c r="B93" s="441"/>
      <c r="C93" s="846"/>
      <c r="D93" s="847"/>
      <c r="E93" s="845"/>
      <c r="F93" s="845"/>
      <c r="G93" s="845"/>
      <c r="H93" s="845"/>
      <c r="I93" s="845"/>
      <c r="J93" s="845"/>
      <c r="K93" s="848"/>
      <c r="L93" s="845"/>
      <c r="M93" s="845"/>
      <c r="N93" s="845"/>
      <c r="O93" s="845"/>
      <c r="P93" s="727"/>
    </row>
    <row r="94" spans="2:16" ht="13.5" thickBot="1">
      <c r="B94" s="441"/>
      <c r="C94" s="849" t="s">
        <v>371</v>
      </c>
      <c r="D94" s="850"/>
      <c r="E94" s="850"/>
      <c r="F94" s="850"/>
      <c r="G94" s="850"/>
      <c r="H94" s="850"/>
      <c r="I94" s="850"/>
      <c r="J94" s="850"/>
      <c r="K94" s="852"/>
      <c r="P94" s="853"/>
    </row>
    <row r="95" spans="2:16" ht="15">
      <c r="B95" s="441"/>
      <c r="C95" s="854" t="s">
        <v>348</v>
      </c>
      <c r="D95" s="1101"/>
      <c r="E95" s="806" t="s">
        <v>349</v>
      </c>
      <c r="H95" s="855"/>
      <c r="I95" s="855"/>
      <c r="J95" s="856">
        <v>0</v>
      </c>
      <c r="K95" s="737"/>
      <c r="L95" s="1228" t="s">
        <v>350</v>
      </c>
      <c r="M95" s="1228"/>
      <c r="N95" s="1228"/>
      <c r="O95" s="1228"/>
      <c r="P95" s="739"/>
    </row>
    <row r="96" spans="2:16" ht="12.75">
      <c r="B96" s="441"/>
      <c r="C96" s="854" t="s">
        <v>351</v>
      </c>
      <c r="D96" s="1102">
        <v>2015</v>
      </c>
      <c r="E96" s="854" t="s">
        <v>352</v>
      </c>
      <c r="F96" s="855"/>
      <c r="G96" s="855"/>
      <c r="I96" s="441"/>
      <c r="J96" s="1104">
        <f>IF(H89="",0,$F$15)</f>
        <v>0</v>
      </c>
      <c r="K96" s="857"/>
      <c r="L96" s="821" t="s">
        <v>603</v>
      </c>
      <c r="P96" s="739"/>
    </row>
    <row r="97" spans="2:16" ht="12.75">
      <c r="B97" s="441"/>
      <c r="C97" s="854" t="s">
        <v>353</v>
      </c>
      <c r="D97" s="1101">
        <v>12</v>
      </c>
      <c r="E97" s="854" t="s">
        <v>354</v>
      </c>
      <c r="F97" s="855"/>
      <c r="G97" s="855"/>
      <c r="I97" s="441"/>
      <c r="J97" s="858">
        <f>F68</f>
        <v>0.1335915242805714</v>
      </c>
      <c r="K97" s="859"/>
      <c r="L97" s="680" t="str">
        <f>"          INPUT TRUE-UP ARR (WITH &amp; WITHOUT INCENTIVES) FROM EACH PRIOR YEAR"</f>
        <v>          INPUT TRUE-UP ARR (WITH &amp; WITHOUT INCENTIVES) FROM EACH PRIOR YEAR</v>
      </c>
      <c r="P97" s="739"/>
    </row>
    <row r="98" spans="2:16" ht="12.75">
      <c r="B98" s="441"/>
      <c r="C98" s="854" t="s">
        <v>355</v>
      </c>
      <c r="D98" s="860">
        <f>H80</f>
        <v>38</v>
      </c>
      <c r="E98" s="854" t="s">
        <v>356</v>
      </c>
      <c r="F98" s="855"/>
      <c r="G98" s="855"/>
      <c r="I98" s="441"/>
      <c r="J98" s="858">
        <f>IF(H89="",+J97,$F$67)</f>
        <v>0.1335915242805714</v>
      </c>
      <c r="K98" s="861"/>
      <c r="L98" s="680" t="s">
        <v>459</v>
      </c>
      <c r="M98" s="861"/>
      <c r="N98" s="861"/>
      <c r="O98" s="861"/>
      <c r="P98" s="739"/>
    </row>
    <row r="99" spans="2:16" ht="13.5" thickBot="1">
      <c r="B99" s="441"/>
      <c r="C99" s="854" t="s">
        <v>357</v>
      </c>
      <c r="D99" s="1103" t="s">
        <v>358</v>
      </c>
      <c r="E99" s="862" t="s">
        <v>359</v>
      </c>
      <c r="F99" s="863"/>
      <c r="G99" s="863"/>
      <c r="H99" s="864"/>
      <c r="I99" s="864"/>
      <c r="J99" s="842">
        <f>IF(D95=0,0,D95/D98)</f>
        <v>0</v>
      </c>
      <c r="K99" s="821"/>
      <c r="L99" s="821" t="s">
        <v>460</v>
      </c>
      <c r="M99" s="821"/>
      <c r="N99" s="821"/>
      <c r="O99" s="821"/>
      <c r="P99" s="739"/>
    </row>
    <row r="100" spans="1:16" ht="38.25">
      <c r="A100" s="659"/>
      <c r="B100" s="659"/>
      <c r="C100" s="865" t="s">
        <v>348</v>
      </c>
      <c r="D100" s="866" t="s">
        <v>360</v>
      </c>
      <c r="E100" s="867" t="s">
        <v>361</v>
      </c>
      <c r="F100" s="866" t="s">
        <v>362</v>
      </c>
      <c r="G100" s="866" t="s">
        <v>584</v>
      </c>
      <c r="H100" s="867" t="s">
        <v>451</v>
      </c>
      <c r="I100" s="868" t="s">
        <v>451</v>
      </c>
      <c r="J100" s="865" t="s">
        <v>372</v>
      </c>
      <c r="K100" s="869"/>
      <c r="L100" s="867" t="s">
        <v>453</v>
      </c>
      <c r="M100" s="867" t="s">
        <v>461</v>
      </c>
      <c r="N100" s="867" t="s">
        <v>453</v>
      </c>
      <c r="O100" s="867" t="s">
        <v>463</v>
      </c>
      <c r="P100" s="867" t="s">
        <v>363</v>
      </c>
    </row>
    <row r="101" spans="2:16" ht="13.5" thickBot="1">
      <c r="B101" s="441"/>
      <c r="C101" s="871" t="s">
        <v>210</v>
      </c>
      <c r="D101" s="872" t="s">
        <v>211</v>
      </c>
      <c r="E101" s="871" t="s">
        <v>63</v>
      </c>
      <c r="F101" s="872" t="s">
        <v>211</v>
      </c>
      <c r="G101" s="872" t="s">
        <v>211</v>
      </c>
      <c r="H101" s="873" t="s">
        <v>375</v>
      </c>
      <c r="I101" s="874" t="s">
        <v>377</v>
      </c>
      <c r="J101" s="875" t="s">
        <v>494</v>
      </c>
      <c r="K101" s="876"/>
      <c r="L101" s="873" t="s">
        <v>364</v>
      </c>
      <c r="M101" s="873" t="s">
        <v>364</v>
      </c>
      <c r="N101" s="873" t="s">
        <v>593</v>
      </c>
      <c r="O101" s="873" t="s">
        <v>593</v>
      </c>
      <c r="P101" s="873" t="s">
        <v>593</v>
      </c>
    </row>
    <row r="102" spans="2:16" ht="12.75">
      <c r="B102" s="441"/>
      <c r="C102" s="878">
        <f>IF(D96="","-",D96)</f>
        <v>2015</v>
      </c>
      <c r="D102" s="827">
        <f>+D95</f>
        <v>0</v>
      </c>
      <c r="E102" s="879">
        <f>+J99/12*(12-D97)</f>
        <v>0</v>
      </c>
      <c r="F102" s="922">
        <f aca="true" t="shared" si="0" ref="F102:F161">+D102-E102</f>
        <v>0</v>
      </c>
      <c r="G102" s="827">
        <f>+(D102+F102)/2</f>
        <v>0</v>
      </c>
      <c r="H102" s="880">
        <f>+J97*G102+E102</f>
        <v>0</v>
      </c>
      <c r="I102" s="881">
        <f>+J98*G102+E102</f>
        <v>0</v>
      </c>
      <c r="J102" s="882">
        <f>+I102-H102</f>
        <v>0</v>
      </c>
      <c r="K102" s="882"/>
      <c r="L102" s="1105"/>
      <c r="M102" s="923">
        <f aca="true" t="shared" si="1" ref="M102:M161">IF(L102&lt;&gt;0,+H102-L102,0)</f>
        <v>0</v>
      </c>
      <c r="N102" s="1105"/>
      <c r="O102" s="923">
        <f aca="true" t="shared" si="2" ref="O102:O161">IF(N102&lt;&gt;0,+I102-N102,0)</f>
        <v>0</v>
      </c>
      <c r="P102" s="923">
        <f aca="true" t="shared" si="3" ref="P102:P161">+O102-M102</f>
        <v>0</v>
      </c>
    </row>
    <row r="103" spans="2:16" ht="12.75">
      <c r="B103" s="441"/>
      <c r="C103" s="878">
        <f>IF(D96="","-",+C102+1)</f>
        <v>2016</v>
      </c>
      <c r="D103" s="827">
        <f aca="true" t="shared" si="4" ref="D103:D161">F102</f>
        <v>0</v>
      </c>
      <c r="E103" s="884">
        <f aca="true" t="shared" si="5" ref="E103:E161">IF(D103&gt;$J$97,$J$97,D103)</f>
        <v>0</v>
      </c>
      <c r="F103" s="884">
        <f t="shared" si="0"/>
        <v>0</v>
      </c>
      <c r="G103" s="827">
        <f aca="true" t="shared" si="6" ref="G103:G161">+(D103+F103)/2</f>
        <v>0</v>
      </c>
      <c r="H103" s="879">
        <f>+J97*G103+E103</f>
        <v>0</v>
      </c>
      <c r="I103" s="885">
        <f>+J98*G103+E103</f>
        <v>0</v>
      </c>
      <c r="J103" s="882">
        <f>+I103-H103</f>
        <v>0</v>
      </c>
      <c r="K103" s="882"/>
      <c r="L103" s="1106"/>
      <c r="M103" s="882">
        <f t="shared" si="1"/>
        <v>0</v>
      </c>
      <c r="N103" s="1106"/>
      <c r="O103" s="882">
        <f t="shared" si="2"/>
        <v>0</v>
      </c>
      <c r="P103" s="882">
        <f t="shared" si="3"/>
        <v>0</v>
      </c>
    </row>
    <row r="104" spans="2:16" ht="12.75">
      <c r="B104" s="441"/>
      <c r="C104" s="878">
        <f>IF(D96="","-",+C103+1)</f>
        <v>2017</v>
      </c>
      <c r="D104" s="827">
        <f t="shared" si="4"/>
        <v>0</v>
      </c>
      <c r="E104" s="884">
        <f t="shared" si="5"/>
        <v>0</v>
      </c>
      <c r="F104" s="884">
        <f t="shared" si="0"/>
        <v>0</v>
      </c>
      <c r="G104" s="827">
        <f t="shared" si="6"/>
        <v>0</v>
      </c>
      <c r="H104" s="879">
        <f>+J97*G104+E104</f>
        <v>0</v>
      </c>
      <c r="I104" s="885">
        <f>+J98*G104+E104</f>
        <v>0</v>
      </c>
      <c r="J104" s="882">
        <f aca="true" t="shared" si="7" ref="J104:J161">+I104-H104</f>
        <v>0</v>
      </c>
      <c r="K104" s="882"/>
      <c r="L104" s="1106"/>
      <c r="M104" s="882">
        <f t="shared" si="1"/>
        <v>0</v>
      </c>
      <c r="N104" s="1106"/>
      <c r="O104" s="882">
        <f t="shared" si="2"/>
        <v>0</v>
      </c>
      <c r="P104" s="882">
        <f t="shared" si="3"/>
        <v>0</v>
      </c>
    </row>
    <row r="105" spans="2:16" ht="12.75">
      <c r="B105" s="441"/>
      <c r="C105" s="878">
        <f>IF(D96="","-",+C104+1)</f>
        <v>2018</v>
      </c>
      <c r="D105" s="827">
        <f t="shared" si="4"/>
        <v>0</v>
      </c>
      <c r="E105" s="884">
        <f t="shared" si="5"/>
        <v>0</v>
      </c>
      <c r="F105" s="884">
        <f t="shared" si="0"/>
        <v>0</v>
      </c>
      <c r="G105" s="827">
        <f t="shared" si="6"/>
        <v>0</v>
      </c>
      <c r="H105" s="879">
        <f>+J97*G105+E105</f>
        <v>0</v>
      </c>
      <c r="I105" s="885">
        <f>+J98*G105+E105</f>
        <v>0</v>
      </c>
      <c r="J105" s="882">
        <f t="shared" si="7"/>
        <v>0</v>
      </c>
      <c r="K105" s="882"/>
      <c r="L105" s="1106"/>
      <c r="M105" s="882">
        <f t="shared" si="1"/>
        <v>0</v>
      </c>
      <c r="N105" s="1106"/>
      <c r="O105" s="882">
        <f t="shared" si="2"/>
        <v>0</v>
      </c>
      <c r="P105" s="882">
        <f t="shared" si="3"/>
        <v>0</v>
      </c>
    </row>
    <row r="106" spans="2:16" ht="12.75">
      <c r="B106" s="441"/>
      <c r="C106" s="878">
        <f>IF(D96="","-",+C105+1)</f>
        <v>2019</v>
      </c>
      <c r="D106" s="827">
        <f t="shared" si="4"/>
        <v>0</v>
      </c>
      <c r="E106" s="884">
        <f t="shared" si="5"/>
        <v>0</v>
      </c>
      <c r="F106" s="884">
        <f t="shared" si="0"/>
        <v>0</v>
      </c>
      <c r="G106" s="827">
        <f t="shared" si="6"/>
        <v>0</v>
      </c>
      <c r="H106" s="879">
        <f>+J97*G106+E106</f>
        <v>0</v>
      </c>
      <c r="I106" s="885">
        <f>+J98*G106+E106</f>
        <v>0</v>
      </c>
      <c r="J106" s="882">
        <f t="shared" si="7"/>
        <v>0</v>
      </c>
      <c r="K106" s="882"/>
      <c r="L106" s="1106"/>
      <c r="M106" s="882">
        <f t="shared" si="1"/>
        <v>0</v>
      </c>
      <c r="N106" s="1106"/>
      <c r="O106" s="882">
        <f t="shared" si="2"/>
        <v>0</v>
      </c>
      <c r="P106" s="882">
        <f t="shared" si="3"/>
        <v>0</v>
      </c>
    </row>
    <row r="107" spans="2:16" ht="12.75">
      <c r="B107" s="441"/>
      <c r="C107" s="878">
        <f>IF(D96="","-",+C106+1)</f>
        <v>2020</v>
      </c>
      <c r="D107" s="827">
        <f t="shared" si="4"/>
        <v>0</v>
      </c>
      <c r="E107" s="884">
        <f t="shared" si="5"/>
        <v>0</v>
      </c>
      <c r="F107" s="884">
        <f t="shared" si="0"/>
        <v>0</v>
      </c>
      <c r="G107" s="827">
        <f t="shared" si="6"/>
        <v>0</v>
      </c>
      <c r="H107" s="879">
        <f>+J97*G107+E107</f>
        <v>0</v>
      </c>
      <c r="I107" s="885">
        <f>+J98*G107+E107</f>
        <v>0</v>
      </c>
      <c r="J107" s="882">
        <f t="shared" si="7"/>
        <v>0</v>
      </c>
      <c r="K107" s="882"/>
      <c r="L107" s="1106"/>
      <c r="M107" s="882">
        <f t="shared" si="1"/>
        <v>0</v>
      </c>
      <c r="N107" s="1106"/>
      <c r="O107" s="882">
        <f t="shared" si="2"/>
        <v>0</v>
      </c>
      <c r="P107" s="882">
        <f t="shared" si="3"/>
        <v>0</v>
      </c>
    </row>
    <row r="108" spans="2:16" ht="12.75">
      <c r="B108" s="441"/>
      <c r="C108" s="878">
        <f>IF(D96="","-",+C107+1)</f>
        <v>2021</v>
      </c>
      <c r="D108" s="827">
        <f t="shared" si="4"/>
        <v>0</v>
      </c>
      <c r="E108" s="884">
        <f t="shared" si="5"/>
        <v>0</v>
      </c>
      <c r="F108" s="884">
        <f t="shared" si="0"/>
        <v>0</v>
      </c>
      <c r="G108" s="827">
        <f t="shared" si="6"/>
        <v>0</v>
      </c>
      <c r="H108" s="879">
        <f>+J97*G108+E108</f>
        <v>0</v>
      </c>
      <c r="I108" s="885">
        <f>+J98*G108+E108</f>
        <v>0</v>
      </c>
      <c r="J108" s="882">
        <f t="shared" si="7"/>
        <v>0</v>
      </c>
      <c r="K108" s="882"/>
      <c r="L108" s="1106"/>
      <c r="M108" s="882">
        <f t="shared" si="1"/>
        <v>0</v>
      </c>
      <c r="N108" s="1106"/>
      <c r="O108" s="882">
        <f t="shared" si="2"/>
        <v>0</v>
      </c>
      <c r="P108" s="882">
        <f t="shared" si="3"/>
        <v>0</v>
      </c>
    </row>
    <row r="109" spans="2:16" ht="12.75">
      <c r="B109" s="441"/>
      <c r="C109" s="878">
        <f>IF(D96="","-",+C108+1)</f>
        <v>2022</v>
      </c>
      <c r="D109" s="827">
        <f t="shared" si="4"/>
        <v>0</v>
      </c>
      <c r="E109" s="884">
        <f t="shared" si="5"/>
        <v>0</v>
      </c>
      <c r="F109" s="884">
        <f t="shared" si="0"/>
        <v>0</v>
      </c>
      <c r="G109" s="827">
        <f t="shared" si="6"/>
        <v>0</v>
      </c>
      <c r="H109" s="879">
        <f>+J97*G109+E109</f>
        <v>0</v>
      </c>
      <c r="I109" s="885">
        <f>+J98*G109+E109</f>
        <v>0</v>
      </c>
      <c r="J109" s="882">
        <f t="shared" si="7"/>
        <v>0</v>
      </c>
      <c r="K109" s="882"/>
      <c r="L109" s="1106"/>
      <c r="M109" s="882">
        <f t="shared" si="1"/>
        <v>0</v>
      </c>
      <c r="N109" s="1106"/>
      <c r="O109" s="882">
        <f t="shared" si="2"/>
        <v>0</v>
      </c>
      <c r="P109" s="882">
        <f t="shared" si="3"/>
        <v>0</v>
      </c>
    </row>
    <row r="110" spans="2:16" ht="12.75">
      <c r="B110" s="441"/>
      <c r="C110" s="878">
        <f>IF(D96="","-",+C109+1)</f>
        <v>2023</v>
      </c>
      <c r="D110" s="827">
        <f t="shared" si="4"/>
        <v>0</v>
      </c>
      <c r="E110" s="884">
        <f t="shared" si="5"/>
        <v>0</v>
      </c>
      <c r="F110" s="884">
        <f t="shared" si="0"/>
        <v>0</v>
      </c>
      <c r="G110" s="827">
        <f t="shared" si="6"/>
        <v>0</v>
      </c>
      <c r="H110" s="879">
        <f>+J97*G110+E110</f>
        <v>0</v>
      </c>
      <c r="I110" s="885">
        <f>+J98*G110+E110</f>
        <v>0</v>
      </c>
      <c r="J110" s="882">
        <f t="shared" si="7"/>
        <v>0</v>
      </c>
      <c r="K110" s="882"/>
      <c r="L110" s="1106"/>
      <c r="M110" s="882">
        <f t="shared" si="1"/>
        <v>0</v>
      </c>
      <c r="N110" s="1106"/>
      <c r="O110" s="882">
        <f t="shared" si="2"/>
        <v>0</v>
      </c>
      <c r="P110" s="882">
        <f t="shared" si="3"/>
        <v>0</v>
      </c>
    </row>
    <row r="111" spans="2:16" ht="12.75">
      <c r="B111" s="441"/>
      <c r="C111" s="878">
        <f>IF(D96="","-",+C110+1)</f>
        <v>2024</v>
      </c>
      <c r="D111" s="827">
        <f t="shared" si="4"/>
        <v>0</v>
      </c>
      <c r="E111" s="884">
        <f t="shared" si="5"/>
        <v>0</v>
      </c>
      <c r="F111" s="884">
        <f t="shared" si="0"/>
        <v>0</v>
      </c>
      <c r="G111" s="827">
        <f t="shared" si="6"/>
        <v>0</v>
      </c>
      <c r="H111" s="879">
        <f>+J97*G111+E111</f>
        <v>0</v>
      </c>
      <c r="I111" s="885">
        <f>+J98*G111+E111</f>
        <v>0</v>
      </c>
      <c r="J111" s="882">
        <f t="shared" si="7"/>
        <v>0</v>
      </c>
      <c r="K111" s="882"/>
      <c r="L111" s="1106"/>
      <c r="M111" s="882">
        <f t="shared" si="1"/>
        <v>0</v>
      </c>
      <c r="N111" s="1106"/>
      <c r="O111" s="882">
        <f t="shared" si="2"/>
        <v>0</v>
      </c>
      <c r="P111" s="882">
        <f t="shared" si="3"/>
        <v>0</v>
      </c>
    </row>
    <row r="112" spans="2:16" ht="12.75">
      <c r="B112" s="441"/>
      <c r="C112" s="878">
        <f>IF(D96="","-",+C111+1)</f>
        <v>2025</v>
      </c>
      <c r="D112" s="827">
        <f t="shared" si="4"/>
        <v>0</v>
      </c>
      <c r="E112" s="884">
        <f t="shared" si="5"/>
        <v>0</v>
      </c>
      <c r="F112" s="884">
        <f t="shared" si="0"/>
        <v>0</v>
      </c>
      <c r="G112" s="827">
        <f t="shared" si="6"/>
        <v>0</v>
      </c>
      <c r="H112" s="879">
        <f>+J97*G112+E112</f>
        <v>0</v>
      </c>
      <c r="I112" s="885">
        <f>+J98*G112+E112</f>
        <v>0</v>
      </c>
      <c r="J112" s="882">
        <f t="shared" si="7"/>
        <v>0</v>
      </c>
      <c r="K112" s="882"/>
      <c r="L112" s="1106"/>
      <c r="M112" s="882">
        <f t="shared" si="1"/>
        <v>0</v>
      </c>
      <c r="N112" s="1106"/>
      <c r="O112" s="882">
        <f t="shared" si="2"/>
        <v>0</v>
      </c>
      <c r="P112" s="882">
        <f t="shared" si="3"/>
        <v>0</v>
      </c>
    </row>
    <row r="113" spans="2:16" ht="12.75">
      <c r="B113" s="441"/>
      <c r="C113" s="878">
        <f>IF(D96="","-",+C112+1)</f>
        <v>2026</v>
      </c>
      <c r="D113" s="827">
        <f t="shared" si="4"/>
        <v>0</v>
      </c>
      <c r="E113" s="884">
        <f t="shared" si="5"/>
        <v>0</v>
      </c>
      <c r="F113" s="884">
        <f t="shared" si="0"/>
        <v>0</v>
      </c>
      <c r="G113" s="827">
        <f t="shared" si="6"/>
        <v>0</v>
      </c>
      <c r="H113" s="879">
        <f>+J97*G113+E113</f>
        <v>0</v>
      </c>
      <c r="I113" s="885">
        <f>+J98*G113+E113</f>
        <v>0</v>
      </c>
      <c r="J113" s="882">
        <f t="shared" si="7"/>
        <v>0</v>
      </c>
      <c r="K113" s="882"/>
      <c r="L113" s="1106"/>
      <c r="M113" s="882">
        <f t="shared" si="1"/>
        <v>0</v>
      </c>
      <c r="N113" s="1106"/>
      <c r="O113" s="882">
        <f t="shared" si="2"/>
        <v>0</v>
      </c>
      <c r="P113" s="882">
        <f t="shared" si="3"/>
        <v>0</v>
      </c>
    </row>
    <row r="114" spans="2:16" ht="12.75">
      <c r="B114" s="441"/>
      <c r="C114" s="878">
        <f>IF(D96="","-",+C113+1)</f>
        <v>2027</v>
      </c>
      <c r="D114" s="827">
        <f t="shared" si="4"/>
        <v>0</v>
      </c>
      <c r="E114" s="884">
        <f t="shared" si="5"/>
        <v>0</v>
      </c>
      <c r="F114" s="884">
        <f t="shared" si="0"/>
        <v>0</v>
      </c>
      <c r="G114" s="827">
        <f t="shared" si="6"/>
        <v>0</v>
      </c>
      <c r="H114" s="879">
        <f>+J97*G114+E114</f>
        <v>0</v>
      </c>
      <c r="I114" s="885">
        <f>+J98*G114+E114</f>
        <v>0</v>
      </c>
      <c r="J114" s="882">
        <f t="shared" si="7"/>
        <v>0</v>
      </c>
      <c r="K114" s="882"/>
      <c r="L114" s="1106"/>
      <c r="M114" s="882">
        <f t="shared" si="1"/>
        <v>0</v>
      </c>
      <c r="N114" s="1106"/>
      <c r="O114" s="882">
        <f t="shared" si="2"/>
        <v>0</v>
      </c>
      <c r="P114" s="882">
        <f t="shared" si="3"/>
        <v>0</v>
      </c>
    </row>
    <row r="115" spans="2:16" ht="12.75">
      <c r="B115" s="441"/>
      <c r="C115" s="878">
        <f>IF(D96="","-",+C114+1)</f>
        <v>2028</v>
      </c>
      <c r="D115" s="827">
        <f t="shared" si="4"/>
        <v>0</v>
      </c>
      <c r="E115" s="884">
        <f t="shared" si="5"/>
        <v>0</v>
      </c>
      <c r="F115" s="884">
        <f t="shared" si="0"/>
        <v>0</v>
      </c>
      <c r="G115" s="827">
        <f t="shared" si="6"/>
        <v>0</v>
      </c>
      <c r="H115" s="879">
        <f>+J97*G115+E115</f>
        <v>0</v>
      </c>
      <c r="I115" s="885">
        <f>+J98*G115+E115</f>
        <v>0</v>
      </c>
      <c r="J115" s="882">
        <f t="shared" si="7"/>
        <v>0</v>
      </c>
      <c r="K115" s="882"/>
      <c r="L115" s="1106"/>
      <c r="M115" s="882">
        <f t="shared" si="1"/>
        <v>0</v>
      </c>
      <c r="N115" s="1106"/>
      <c r="O115" s="882">
        <f t="shared" si="2"/>
        <v>0</v>
      </c>
      <c r="P115" s="882">
        <f t="shared" si="3"/>
        <v>0</v>
      </c>
    </row>
    <row r="116" spans="2:16" ht="12.75">
      <c r="B116" s="441"/>
      <c r="C116" s="878">
        <f>IF(D96="","-",+C115+1)</f>
        <v>2029</v>
      </c>
      <c r="D116" s="827">
        <f t="shared" si="4"/>
        <v>0</v>
      </c>
      <c r="E116" s="884">
        <f t="shared" si="5"/>
        <v>0</v>
      </c>
      <c r="F116" s="884">
        <f t="shared" si="0"/>
        <v>0</v>
      </c>
      <c r="G116" s="827">
        <f t="shared" si="6"/>
        <v>0</v>
      </c>
      <c r="H116" s="879">
        <f>+J97*G116+E116</f>
        <v>0</v>
      </c>
      <c r="I116" s="885">
        <f>+J98*G116+E116</f>
        <v>0</v>
      </c>
      <c r="J116" s="882">
        <f t="shared" si="7"/>
        <v>0</v>
      </c>
      <c r="K116" s="882"/>
      <c r="L116" s="1106"/>
      <c r="M116" s="882">
        <f t="shared" si="1"/>
        <v>0</v>
      </c>
      <c r="N116" s="1106"/>
      <c r="O116" s="882">
        <f t="shared" si="2"/>
        <v>0</v>
      </c>
      <c r="P116" s="882">
        <f t="shared" si="3"/>
        <v>0</v>
      </c>
    </row>
    <row r="117" spans="2:16" ht="12.75">
      <c r="B117" s="441"/>
      <c r="C117" s="878">
        <f>IF(D96="","-",+C116+1)</f>
        <v>2030</v>
      </c>
      <c r="D117" s="827">
        <f t="shared" si="4"/>
        <v>0</v>
      </c>
      <c r="E117" s="884">
        <f t="shared" si="5"/>
        <v>0</v>
      </c>
      <c r="F117" s="884">
        <f t="shared" si="0"/>
        <v>0</v>
      </c>
      <c r="G117" s="827">
        <f t="shared" si="6"/>
        <v>0</v>
      </c>
      <c r="H117" s="879">
        <f>+J97*G117+E117</f>
        <v>0</v>
      </c>
      <c r="I117" s="885">
        <f>+J98*G117+E117</f>
        <v>0</v>
      </c>
      <c r="J117" s="882">
        <f t="shared" si="7"/>
        <v>0</v>
      </c>
      <c r="K117" s="882"/>
      <c r="L117" s="1106"/>
      <c r="M117" s="882">
        <f t="shared" si="1"/>
        <v>0</v>
      </c>
      <c r="N117" s="1106"/>
      <c r="O117" s="882">
        <f t="shared" si="2"/>
        <v>0</v>
      </c>
      <c r="P117" s="882">
        <f t="shared" si="3"/>
        <v>0</v>
      </c>
    </row>
    <row r="118" spans="2:16" ht="12.75">
      <c r="B118" s="441"/>
      <c r="C118" s="878">
        <f>IF(D96="","-",+C117+1)</f>
        <v>2031</v>
      </c>
      <c r="D118" s="827">
        <f t="shared" si="4"/>
        <v>0</v>
      </c>
      <c r="E118" s="884">
        <f t="shared" si="5"/>
        <v>0</v>
      </c>
      <c r="F118" s="884">
        <f t="shared" si="0"/>
        <v>0</v>
      </c>
      <c r="G118" s="827">
        <f t="shared" si="6"/>
        <v>0</v>
      </c>
      <c r="H118" s="879">
        <f>+J97*G118+E118</f>
        <v>0</v>
      </c>
      <c r="I118" s="885">
        <f>+J98*G118+E118</f>
        <v>0</v>
      </c>
      <c r="J118" s="882">
        <f t="shared" si="7"/>
        <v>0</v>
      </c>
      <c r="K118" s="882"/>
      <c r="L118" s="1106"/>
      <c r="M118" s="882">
        <f t="shared" si="1"/>
        <v>0</v>
      </c>
      <c r="N118" s="1106"/>
      <c r="O118" s="882">
        <f t="shared" si="2"/>
        <v>0</v>
      </c>
      <c r="P118" s="882">
        <f t="shared" si="3"/>
        <v>0</v>
      </c>
    </row>
    <row r="119" spans="2:16" ht="12.75">
      <c r="B119" s="441"/>
      <c r="C119" s="878">
        <f>IF(D96="","-",+C118+1)</f>
        <v>2032</v>
      </c>
      <c r="D119" s="827">
        <f t="shared" si="4"/>
        <v>0</v>
      </c>
      <c r="E119" s="884">
        <f t="shared" si="5"/>
        <v>0</v>
      </c>
      <c r="F119" s="884">
        <f t="shared" si="0"/>
        <v>0</v>
      </c>
      <c r="G119" s="827">
        <f t="shared" si="6"/>
        <v>0</v>
      </c>
      <c r="H119" s="879">
        <f>+J97*G119+E119</f>
        <v>0</v>
      </c>
      <c r="I119" s="885">
        <f>+J98*G119+E119</f>
        <v>0</v>
      </c>
      <c r="J119" s="882">
        <f t="shared" si="7"/>
        <v>0</v>
      </c>
      <c r="K119" s="882"/>
      <c r="L119" s="1106"/>
      <c r="M119" s="882">
        <f t="shared" si="1"/>
        <v>0</v>
      </c>
      <c r="N119" s="1106"/>
      <c r="O119" s="882">
        <f t="shared" si="2"/>
        <v>0</v>
      </c>
      <c r="P119" s="882">
        <f t="shared" si="3"/>
        <v>0</v>
      </c>
    </row>
    <row r="120" spans="2:16" ht="12.75">
      <c r="B120" s="441"/>
      <c r="C120" s="878">
        <f>IF(D96="","-",+C119+1)</f>
        <v>2033</v>
      </c>
      <c r="D120" s="827">
        <f t="shared" si="4"/>
        <v>0</v>
      </c>
      <c r="E120" s="884">
        <f t="shared" si="5"/>
        <v>0</v>
      </c>
      <c r="F120" s="884">
        <f t="shared" si="0"/>
        <v>0</v>
      </c>
      <c r="G120" s="827">
        <f t="shared" si="6"/>
        <v>0</v>
      </c>
      <c r="H120" s="879">
        <f>+J97*G120+E120</f>
        <v>0</v>
      </c>
      <c r="I120" s="885">
        <f>+J98*G120+E120</f>
        <v>0</v>
      </c>
      <c r="J120" s="882">
        <f t="shared" si="7"/>
        <v>0</v>
      </c>
      <c r="K120" s="882"/>
      <c r="L120" s="1106"/>
      <c r="M120" s="882">
        <f t="shared" si="1"/>
        <v>0</v>
      </c>
      <c r="N120" s="1106"/>
      <c r="O120" s="882">
        <f t="shared" si="2"/>
        <v>0</v>
      </c>
      <c r="P120" s="882">
        <f t="shared" si="3"/>
        <v>0</v>
      </c>
    </row>
    <row r="121" spans="2:16" ht="12.75">
      <c r="B121" s="441"/>
      <c r="C121" s="878">
        <f>IF(D96="","-",+C120+1)</f>
        <v>2034</v>
      </c>
      <c r="D121" s="827">
        <f t="shared" si="4"/>
        <v>0</v>
      </c>
      <c r="E121" s="884">
        <f t="shared" si="5"/>
        <v>0</v>
      </c>
      <c r="F121" s="884">
        <f t="shared" si="0"/>
        <v>0</v>
      </c>
      <c r="G121" s="827">
        <f t="shared" si="6"/>
        <v>0</v>
      </c>
      <c r="H121" s="879">
        <f>+J97*G121+E121</f>
        <v>0</v>
      </c>
      <c r="I121" s="885">
        <f>+J98*G121+E121</f>
        <v>0</v>
      </c>
      <c r="J121" s="882">
        <f t="shared" si="7"/>
        <v>0</v>
      </c>
      <c r="K121" s="882"/>
      <c r="L121" s="1106"/>
      <c r="M121" s="882">
        <f t="shared" si="1"/>
        <v>0</v>
      </c>
      <c r="N121" s="1106"/>
      <c r="O121" s="882">
        <f t="shared" si="2"/>
        <v>0</v>
      </c>
      <c r="P121" s="882">
        <f t="shared" si="3"/>
        <v>0</v>
      </c>
    </row>
    <row r="122" spans="2:16" ht="12.75">
      <c r="B122" s="441"/>
      <c r="C122" s="878">
        <f>IF(D96="","-",+C121+1)</f>
        <v>2035</v>
      </c>
      <c r="D122" s="827">
        <f t="shared" si="4"/>
        <v>0</v>
      </c>
      <c r="E122" s="884">
        <f t="shared" si="5"/>
        <v>0</v>
      </c>
      <c r="F122" s="884">
        <f t="shared" si="0"/>
        <v>0</v>
      </c>
      <c r="G122" s="827">
        <f t="shared" si="6"/>
        <v>0</v>
      </c>
      <c r="H122" s="879">
        <f>+J97*G122+E122</f>
        <v>0</v>
      </c>
      <c r="I122" s="885">
        <f>+J98*G122+E122</f>
        <v>0</v>
      </c>
      <c r="J122" s="882">
        <f t="shared" si="7"/>
        <v>0</v>
      </c>
      <c r="K122" s="882"/>
      <c r="L122" s="1106"/>
      <c r="M122" s="882">
        <f t="shared" si="1"/>
        <v>0</v>
      </c>
      <c r="N122" s="1106"/>
      <c r="O122" s="882">
        <f t="shared" si="2"/>
        <v>0</v>
      </c>
      <c r="P122" s="882">
        <f t="shared" si="3"/>
        <v>0</v>
      </c>
    </row>
    <row r="123" spans="2:16" ht="12.75">
      <c r="B123" s="441"/>
      <c r="C123" s="878">
        <f>IF(D96="","-",+C122+1)</f>
        <v>2036</v>
      </c>
      <c r="D123" s="827">
        <f t="shared" si="4"/>
        <v>0</v>
      </c>
      <c r="E123" s="884">
        <f t="shared" si="5"/>
        <v>0</v>
      </c>
      <c r="F123" s="884">
        <f t="shared" si="0"/>
        <v>0</v>
      </c>
      <c r="G123" s="827">
        <f t="shared" si="6"/>
        <v>0</v>
      </c>
      <c r="H123" s="879">
        <f>+J97*G123+E123</f>
        <v>0</v>
      </c>
      <c r="I123" s="885">
        <f>+J98*G123+E123</f>
        <v>0</v>
      </c>
      <c r="J123" s="882">
        <f t="shared" si="7"/>
        <v>0</v>
      </c>
      <c r="K123" s="882"/>
      <c r="L123" s="1106"/>
      <c r="M123" s="882">
        <f t="shared" si="1"/>
        <v>0</v>
      </c>
      <c r="N123" s="1106"/>
      <c r="O123" s="882">
        <f t="shared" si="2"/>
        <v>0</v>
      </c>
      <c r="P123" s="882">
        <f t="shared" si="3"/>
        <v>0</v>
      </c>
    </row>
    <row r="124" spans="2:16" ht="12.75">
      <c r="B124" s="441"/>
      <c r="C124" s="878">
        <f>IF(D96="","-",+C123+1)</f>
        <v>2037</v>
      </c>
      <c r="D124" s="827">
        <f t="shared" si="4"/>
        <v>0</v>
      </c>
      <c r="E124" s="884">
        <f t="shared" si="5"/>
        <v>0</v>
      </c>
      <c r="F124" s="884">
        <f t="shared" si="0"/>
        <v>0</v>
      </c>
      <c r="G124" s="827">
        <f t="shared" si="6"/>
        <v>0</v>
      </c>
      <c r="H124" s="879">
        <f>+J97*G124+E124</f>
        <v>0</v>
      </c>
      <c r="I124" s="885">
        <f>+J98*G124+E124</f>
        <v>0</v>
      </c>
      <c r="J124" s="882">
        <f t="shared" si="7"/>
        <v>0</v>
      </c>
      <c r="K124" s="882"/>
      <c r="L124" s="1106"/>
      <c r="M124" s="882">
        <f t="shared" si="1"/>
        <v>0</v>
      </c>
      <c r="N124" s="1106"/>
      <c r="O124" s="882">
        <f t="shared" si="2"/>
        <v>0</v>
      </c>
      <c r="P124" s="882">
        <f t="shared" si="3"/>
        <v>0</v>
      </c>
    </row>
    <row r="125" spans="2:16" ht="12.75">
      <c r="B125" s="441"/>
      <c r="C125" s="878">
        <f>IF(D96="","-",+C124+1)</f>
        <v>2038</v>
      </c>
      <c r="D125" s="827">
        <f t="shared" si="4"/>
        <v>0</v>
      </c>
      <c r="E125" s="884">
        <f t="shared" si="5"/>
        <v>0</v>
      </c>
      <c r="F125" s="884">
        <f t="shared" si="0"/>
        <v>0</v>
      </c>
      <c r="G125" s="827">
        <f t="shared" si="6"/>
        <v>0</v>
      </c>
      <c r="H125" s="879">
        <f>+J97*G125+E125</f>
        <v>0</v>
      </c>
      <c r="I125" s="885">
        <f>+J98*G125+E125</f>
        <v>0</v>
      </c>
      <c r="J125" s="882">
        <f t="shared" si="7"/>
        <v>0</v>
      </c>
      <c r="K125" s="882"/>
      <c r="L125" s="1106"/>
      <c r="M125" s="882">
        <f t="shared" si="1"/>
        <v>0</v>
      </c>
      <c r="N125" s="1106"/>
      <c r="O125" s="882">
        <f t="shared" si="2"/>
        <v>0</v>
      </c>
      <c r="P125" s="882">
        <f t="shared" si="3"/>
        <v>0</v>
      </c>
    </row>
    <row r="126" spans="2:16" ht="12.75">
      <c r="B126" s="441"/>
      <c r="C126" s="878">
        <f>IF(D96="","-",+C125+1)</f>
        <v>2039</v>
      </c>
      <c r="D126" s="827">
        <f t="shared" si="4"/>
        <v>0</v>
      </c>
      <c r="E126" s="884">
        <f t="shared" si="5"/>
        <v>0</v>
      </c>
      <c r="F126" s="884">
        <f t="shared" si="0"/>
        <v>0</v>
      </c>
      <c r="G126" s="827">
        <f t="shared" si="6"/>
        <v>0</v>
      </c>
      <c r="H126" s="879">
        <f>+J97*G126+E126</f>
        <v>0</v>
      </c>
      <c r="I126" s="885">
        <f>+J98*G126+E126</f>
        <v>0</v>
      </c>
      <c r="J126" s="882">
        <f t="shared" si="7"/>
        <v>0</v>
      </c>
      <c r="K126" s="882"/>
      <c r="L126" s="1106"/>
      <c r="M126" s="882">
        <f t="shared" si="1"/>
        <v>0</v>
      </c>
      <c r="N126" s="1106"/>
      <c r="O126" s="882">
        <f t="shared" si="2"/>
        <v>0</v>
      </c>
      <c r="P126" s="882">
        <f t="shared" si="3"/>
        <v>0</v>
      </c>
    </row>
    <row r="127" spans="2:16" ht="12.75">
      <c r="B127" s="441"/>
      <c r="C127" s="878">
        <f>IF(D96="","-",+C126+1)</f>
        <v>2040</v>
      </c>
      <c r="D127" s="827">
        <f t="shared" si="4"/>
        <v>0</v>
      </c>
      <c r="E127" s="884">
        <f t="shared" si="5"/>
        <v>0</v>
      </c>
      <c r="F127" s="884">
        <f t="shared" si="0"/>
        <v>0</v>
      </c>
      <c r="G127" s="827">
        <f t="shared" si="6"/>
        <v>0</v>
      </c>
      <c r="H127" s="879">
        <f>+J97*G127+E127</f>
        <v>0</v>
      </c>
      <c r="I127" s="885">
        <f>+J98*G127+E127</f>
        <v>0</v>
      </c>
      <c r="J127" s="882">
        <f t="shared" si="7"/>
        <v>0</v>
      </c>
      <c r="K127" s="882"/>
      <c r="L127" s="1106"/>
      <c r="M127" s="882">
        <f t="shared" si="1"/>
        <v>0</v>
      </c>
      <c r="N127" s="1106"/>
      <c r="O127" s="882">
        <f t="shared" si="2"/>
        <v>0</v>
      </c>
      <c r="P127" s="882">
        <f t="shared" si="3"/>
        <v>0</v>
      </c>
    </row>
    <row r="128" spans="2:16" ht="12.75">
      <c r="B128" s="441"/>
      <c r="C128" s="878">
        <f>IF(D96="","-",+C127+1)</f>
        <v>2041</v>
      </c>
      <c r="D128" s="827">
        <f t="shared" si="4"/>
        <v>0</v>
      </c>
      <c r="E128" s="884">
        <f t="shared" si="5"/>
        <v>0</v>
      </c>
      <c r="F128" s="884">
        <f t="shared" si="0"/>
        <v>0</v>
      </c>
      <c r="G128" s="827">
        <f t="shared" si="6"/>
        <v>0</v>
      </c>
      <c r="H128" s="879">
        <f>+J97*G128+E128</f>
        <v>0</v>
      </c>
      <c r="I128" s="885">
        <f>+J98*G128+E128</f>
        <v>0</v>
      </c>
      <c r="J128" s="882">
        <f t="shared" si="7"/>
        <v>0</v>
      </c>
      <c r="K128" s="882"/>
      <c r="L128" s="1106"/>
      <c r="M128" s="882">
        <f t="shared" si="1"/>
        <v>0</v>
      </c>
      <c r="N128" s="1106"/>
      <c r="O128" s="882">
        <f t="shared" si="2"/>
        <v>0</v>
      </c>
      <c r="P128" s="882">
        <f t="shared" si="3"/>
        <v>0</v>
      </c>
    </row>
    <row r="129" spans="2:16" ht="12.75">
      <c r="B129" s="441"/>
      <c r="C129" s="878">
        <f>IF(D96="","-",+C128+1)</f>
        <v>2042</v>
      </c>
      <c r="D129" s="827">
        <f t="shared" si="4"/>
        <v>0</v>
      </c>
      <c r="E129" s="884">
        <f t="shared" si="5"/>
        <v>0</v>
      </c>
      <c r="F129" s="884">
        <f t="shared" si="0"/>
        <v>0</v>
      </c>
      <c r="G129" s="827">
        <f t="shared" si="6"/>
        <v>0</v>
      </c>
      <c r="H129" s="879">
        <f>+J97*G129+E129</f>
        <v>0</v>
      </c>
      <c r="I129" s="885">
        <f>+J98*G129+E129</f>
        <v>0</v>
      </c>
      <c r="J129" s="882">
        <f t="shared" si="7"/>
        <v>0</v>
      </c>
      <c r="K129" s="882"/>
      <c r="L129" s="1106"/>
      <c r="M129" s="882">
        <f t="shared" si="1"/>
        <v>0</v>
      </c>
      <c r="N129" s="1106"/>
      <c r="O129" s="882">
        <f t="shared" si="2"/>
        <v>0</v>
      </c>
      <c r="P129" s="882">
        <f t="shared" si="3"/>
        <v>0</v>
      </c>
    </row>
    <row r="130" spans="2:16" ht="12.75">
      <c r="B130" s="441"/>
      <c r="C130" s="878">
        <f>IF(D96="","-",+C129+1)</f>
        <v>2043</v>
      </c>
      <c r="D130" s="827">
        <f t="shared" si="4"/>
        <v>0</v>
      </c>
      <c r="E130" s="884">
        <f t="shared" si="5"/>
        <v>0</v>
      </c>
      <c r="F130" s="884">
        <f t="shared" si="0"/>
        <v>0</v>
      </c>
      <c r="G130" s="827">
        <f t="shared" si="6"/>
        <v>0</v>
      </c>
      <c r="H130" s="879">
        <f>+J97*G130+E130</f>
        <v>0</v>
      </c>
      <c r="I130" s="885">
        <f>+J98*G130+E130</f>
        <v>0</v>
      </c>
      <c r="J130" s="882">
        <f t="shared" si="7"/>
        <v>0</v>
      </c>
      <c r="K130" s="882"/>
      <c r="L130" s="1106"/>
      <c r="M130" s="882">
        <f t="shared" si="1"/>
        <v>0</v>
      </c>
      <c r="N130" s="1106"/>
      <c r="O130" s="882">
        <f t="shared" si="2"/>
        <v>0</v>
      </c>
      <c r="P130" s="882">
        <f t="shared" si="3"/>
        <v>0</v>
      </c>
    </row>
    <row r="131" spans="2:16" ht="12.75">
      <c r="B131" s="441"/>
      <c r="C131" s="878">
        <f>IF(D96="","-",+C130+1)</f>
        <v>2044</v>
      </c>
      <c r="D131" s="827">
        <f t="shared" si="4"/>
        <v>0</v>
      </c>
      <c r="E131" s="884">
        <f t="shared" si="5"/>
        <v>0</v>
      </c>
      <c r="F131" s="884">
        <f t="shared" si="0"/>
        <v>0</v>
      </c>
      <c r="G131" s="827">
        <f t="shared" si="6"/>
        <v>0</v>
      </c>
      <c r="H131" s="879">
        <f>+J97*G131+E131</f>
        <v>0</v>
      </c>
      <c r="I131" s="885">
        <f>+J98*G131+E131</f>
        <v>0</v>
      </c>
      <c r="J131" s="882">
        <f t="shared" si="7"/>
        <v>0</v>
      </c>
      <c r="K131" s="882"/>
      <c r="L131" s="1106"/>
      <c r="M131" s="882">
        <f t="shared" si="1"/>
        <v>0</v>
      </c>
      <c r="N131" s="1106"/>
      <c r="O131" s="882">
        <f t="shared" si="2"/>
        <v>0</v>
      </c>
      <c r="P131" s="882">
        <f t="shared" si="3"/>
        <v>0</v>
      </c>
    </row>
    <row r="132" spans="2:16" ht="12.75">
      <c r="B132" s="441"/>
      <c r="C132" s="878">
        <f>IF(D96="","-",+C131+1)</f>
        <v>2045</v>
      </c>
      <c r="D132" s="827">
        <f t="shared" si="4"/>
        <v>0</v>
      </c>
      <c r="E132" s="884">
        <f t="shared" si="5"/>
        <v>0</v>
      </c>
      <c r="F132" s="884">
        <f t="shared" si="0"/>
        <v>0</v>
      </c>
      <c r="G132" s="827">
        <f t="shared" si="6"/>
        <v>0</v>
      </c>
      <c r="H132" s="879">
        <f>+J97*G132+E132</f>
        <v>0</v>
      </c>
      <c r="I132" s="885">
        <f>+J98*G132+E132</f>
        <v>0</v>
      </c>
      <c r="J132" s="882">
        <f t="shared" si="7"/>
        <v>0</v>
      </c>
      <c r="K132" s="882"/>
      <c r="L132" s="1106"/>
      <c r="M132" s="882">
        <f t="shared" si="1"/>
        <v>0</v>
      </c>
      <c r="N132" s="1106"/>
      <c r="O132" s="882">
        <f t="shared" si="2"/>
        <v>0</v>
      </c>
      <c r="P132" s="882">
        <f t="shared" si="3"/>
        <v>0</v>
      </c>
    </row>
    <row r="133" spans="2:16" ht="12.75">
      <c r="B133" s="441"/>
      <c r="C133" s="878">
        <f>IF(D96="","-",+C132+1)</f>
        <v>2046</v>
      </c>
      <c r="D133" s="827">
        <f t="shared" si="4"/>
        <v>0</v>
      </c>
      <c r="E133" s="884">
        <f t="shared" si="5"/>
        <v>0</v>
      </c>
      <c r="F133" s="884">
        <f t="shared" si="0"/>
        <v>0</v>
      </c>
      <c r="G133" s="827">
        <f t="shared" si="6"/>
        <v>0</v>
      </c>
      <c r="H133" s="879">
        <f>+J97*G133+E133</f>
        <v>0</v>
      </c>
      <c r="I133" s="885">
        <f>+J98*G133+E133</f>
        <v>0</v>
      </c>
      <c r="J133" s="882">
        <f t="shared" si="7"/>
        <v>0</v>
      </c>
      <c r="K133" s="882"/>
      <c r="L133" s="1106"/>
      <c r="M133" s="882">
        <f t="shared" si="1"/>
        <v>0</v>
      </c>
      <c r="N133" s="1106"/>
      <c r="O133" s="882">
        <f t="shared" si="2"/>
        <v>0</v>
      </c>
      <c r="P133" s="882">
        <f t="shared" si="3"/>
        <v>0</v>
      </c>
    </row>
    <row r="134" spans="2:16" ht="12.75">
      <c r="B134" s="441"/>
      <c r="C134" s="878">
        <f>IF(D96="","-",+C133+1)</f>
        <v>2047</v>
      </c>
      <c r="D134" s="827">
        <f t="shared" si="4"/>
        <v>0</v>
      </c>
      <c r="E134" s="884">
        <f t="shared" si="5"/>
        <v>0</v>
      </c>
      <c r="F134" s="884">
        <f t="shared" si="0"/>
        <v>0</v>
      </c>
      <c r="G134" s="827">
        <f t="shared" si="6"/>
        <v>0</v>
      </c>
      <c r="H134" s="879">
        <f>+J97*G134+E134</f>
        <v>0</v>
      </c>
      <c r="I134" s="885">
        <f>+J98*G134+E134</f>
        <v>0</v>
      </c>
      <c r="J134" s="882">
        <f t="shared" si="7"/>
        <v>0</v>
      </c>
      <c r="K134" s="882"/>
      <c r="L134" s="1106"/>
      <c r="M134" s="882">
        <f t="shared" si="1"/>
        <v>0</v>
      </c>
      <c r="N134" s="1106"/>
      <c r="O134" s="882">
        <f t="shared" si="2"/>
        <v>0</v>
      </c>
      <c r="P134" s="882">
        <f t="shared" si="3"/>
        <v>0</v>
      </c>
    </row>
    <row r="135" spans="2:16" ht="12.75">
      <c r="B135" s="441"/>
      <c r="C135" s="878">
        <f>IF(D96="","-",+C134+1)</f>
        <v>2048</v>
      </c>
      <c r="D135" s="827">
        <f t="shared" si="4"/>
        <v>0</v>
      </c>
      <c r="E135" s="884">
        <f t="shared" si="5"/>
        <v>0</v>
      </c>
      <c r="F135" s="884">
        <f t="shared" si="0"/>
        <v>0</v>
      </c>
      <c r="G135" s="827">
        <f t="shared" si="6"/>
        <v>0</v>
      </c>
      <c r="H135" s="879">
        <f>+J97*G135+E135</f>
        <v>0</v>
      </c>
      <c r="I135" s="885">
        <f>+J98*G135+E135</f>
        <v>0</v>
      </c>
      <c r="J135" s="882">
        <f t="shared" si="7"/>
        <v>0</v>
      </c>
      <c r="K135" s="882"/>
      <c r="L135" s="1106"/>
      <c r="M135" s="882">
        <f t="shared" si="1"/>
        <v>0</v>
      </c>
      <c r="N135" s="1106"/>
      <c r="O135" s="882">
        <f t="shared" si="2"/>
        <v>0</v>
      </c>
      <c r="P135" s="882">
        <f t="shared" si="3"/>
        <v>0</v>
      </c>
    </row>
    <row r="136" spans="2:16" ht="12.75">
      <c r="B136" s="441"/>
      <c r="C136" s="878">
        <f>IF(D96="","-",+C135+1)</f>
        <v>2049</v>
      </c>
      <c r="D136" s="827">
        <f t="shared" si="4"/>
        <v>0</v>
      </c>
      <c r="E136" s="884">
        <f t="shared" si="5"/>
        <v>0</v>
      </c>
      <c r="F136" s="884">
        <f t="shared" si="0"/>
        <v>0</v>
      </c>
      <c r="G136" s="827">
        <f t="shared" si="6"/>
        <v>0</v>
      </c>
      <c r="H136" s="879">
        <f>+J97*G136+E136</f>
        <v>0</v>
      </c>
      <c r="I136" s="885">
        <f>+J98*G136+E136</f>
        <v>0</v>
      </c>
      <c r="J136" s="882">
        <f t="shared" si="7"/>
        <v>0</v>
      </c>
      <c r="K136" s="882"/>
      <c r="L136" s="1106"/>
      <c r="M136" s="882">
        <f t="shared" si="1"/>
        <v>0</v>
      </c>
      <c r="N136" s="1106"/>
      <c r="O136" s="882">
        <f t="shared" si="2"/>
        <v>0</v>
      </c>
      <c r="P136" s="882">
        <f t="shared" si="3"/>
        <v>0</v>
      </c>
    </row>
    <row r="137" spans="2:16" ht="12.75">
      <c r="B137" s="441"/>
      <c r="C137" s="878">
        <f>IF(D96="","-",+C136+1)</f>
        <v>2050</v>
      </c>
      <c r="D137" s="827">
        <f t="shared" si="4"/>
        <v>0</v>
      </c>
      <c r="E137" s="884">
        <f t="shared" si="5"/>
        <v>0</v>
      </c>
      <c r="F137" s="884">
        <f t="shared" si="0"/>
        <v>0</v>
      </c>
      <c r="G137" s="827">
        <f t="shared" si="6"/>
        <v>0</v>
      </c>
      <c r="H137" s="879">
        <f>+J97*G137+E137</f>
        <v>0</v>
      </c>
      <c r="I137" s="885">
        <f>+J98*G137+E137</f>
        <v>0</v>
      </c>
      <c r="J137" s="882">
        <f t="shared" si="7"/>
        <v>0</v>
      </c>
      <c r="K137" s="882"/>
      <c r="L137" s="1106"/>
      <c r="M137" s="882">
        <f t="shared" si="1"/>
        <v>0</v>
      </c>
      <c r="N137" s="1106"/>
      <c r="O137" s="882">
        <f t="shared" si="2"/>
        <v>0</v>
      </c>
      <c r="P137" s="882">
        <f t="shared" si="3"/>
        <v>0</v>
      </c>
    </row>
    <row r="138" spans="2:16" ht="12.75">
      <c r="B138" s="441"/>
      <c r="C138" s="878">
        <f>IF(D96="","-",+C137+1)</f>
        <v>2051</v>
      </c>
      <c r="D138" s="827">
        <f t="shared" si="4"/>
        <v>0</v>
      </c>
      <c r="E138" s="884">
        <f t="shared" si="5"/>
        <v>0</v>
      </c>
      <c r="F138" s="884">
        <f t="shared" si="0"/>
        <v>0</v>
      </c>
      <c r="G138" s="827">
        <f t="shared" si="6"/>
        <v>0</v>
      </c>
      <c r="H138" s="879">
        <f>+J97*G138+E138</f>
        <v>0</v>
      </c>
      <c r="I138" s="885">
        <f>+J98*G138+E138</f>
        <v>0</v>
      </c>
      <c r="J138" s="882">
        <f t="shared" si="7"/>
        <v>0</v>
      </c>
      <c r="K138" s="882"/>
      <c r="L138" s="1106"/>
      <c r="M138" s="882">
        <f t="shared" si="1"/>
        <v>0</v>
      </c>
      <c r="N138" s="1106"/>
      <c r="O138" s="882">
        <f t="shared" si="2"/>
        <v>0</v>
      </c>
      <c r="P138" s="882">
        <f t="shared" si="3"/>
        <v>0</v>
      </c>
    </row>
    <row r="139" spans="2:16" ht="12.75">
      <c r="B139" s="441"/>
      <c r="C139" s="878">
        <f>IF(D96="","-",+C138+1)</f>
        <v>2052</v>
      </c>
      <c r="D139" s="827">
        <f t="shared" si="4"/>
        <v>0</v>
      </c>
      <c r="E139" s="884">
        <f t="shared" si="5"/>
        <v>0</v>
      </c>
      <c r="F139" s="884">
        <f t="shared" si="0"/>
        <v>0</v>
      </c>
      <c r="G139" s="827">
        <f t="shared" si="6"/>
        <v>0</v>
      </c>
      <c r="H139" s="879">
        <f>+J97*G139+E139</f>
        <v>0</v>
      </c>
      <c r="I139" s="885">
        <f>+J98*G139+E139</f>
        <v>0</v>
      </c>
      <c r="J139" s="882">
        <f t="shared" si="7"/>
        <v>0</v>
      </c>
      <c r="K139" s="882"/>
      <c r="L139" s="1106"/>
      <c r="M139" s="882">
        <f t="shared" si="1"/>
        <v>0</v>
      </c>
      <c r="N139" s="1106"/>
      <c r="O139" s="882">
        <f t="shared" si="2"/>
        <v>0</v>
      </c>
      <c r="P139" s="882">
        <f t="shared" si="3"/>
        <v>0</v>
      </c>
    </row>
    <row r="140" spans="2:16" ht="12.75">
      <c r="B140" s="441"/>
      <c r="C140" s="878">
        <f>IF(D96="","-",+C139+1)</f>
        <v>2053</v>
      </c>
      <c r="D140" s="827">
        <f t="shared" si="4"/>
        <v>0</v>
      </c>
      <c r="E140" s="884">
        <f t="shared" si="5"/>
        <v>0</v>
      </c>
      <c r="F140" s="884">
        <f t="shared" si="0"/>
        <v>0</v>
      </c>
      <c r="G140" s="827">
        <f t="shared" si="6"/>
        <v>0</v>
      </c>
      <c r="H140" s="879">
        <f>+J97*G140+E140</f>
        <v>0</v>
      </c>
      <c r="I140" s="885">
        <f>+J98*G140+E140</f>
        <v>0</v>
      </c>
      <c r="J140" s="882">
        <f t="shared" si="7"/>
        <v>0</v>
      </c>
      <c r="K140" s="882"/>
      <c r="L140" s="1106"/>
      <c r="M140" s="882">
        <f t="shared" si="1"/>
        <v>0</v>
      </c>
      <c r="N140" s="1106"/>
      <c r="O140" s="882">
        <f t="shared" si="2"/>
        <v>0</v>
      </c>
      <c r="P140" s="882">
        <f t="shared" si="3"/>
        <v>0</v>
      </c>
    </row>
    <row r="141" spans="2:16" ht="12.75">
      <c r="B141" s="441"/>
      <c r="C141" s="878">
        <f>IF(D96="","-",+C140+1)</f>
        <v>2054</v>
      </c>
      <c r="D141" s="827">
        <f t="shared" si="4"/>
        <v>0</v>
      </c>
      <c r="E141" s="884">
        <f t="shared" si="5"/>
        <v>0</v>
      </c>
      <c r="F141" s="884">
        <f t="shared" si="0"/>
        <v>0</v>
      </c>
      <c r="G141" s="827">
        <f t="shared" si="6"/>
        <v>0</v>
      </c>
      <c r="H141" s="879">
        <f>+J97*G141+E141</f>
        <v>0</v>
      </c>
      <c r="I141" s="885">
        <f>+J98*G141+E141</f>
        <v>0</v>
      </c>
      <c r="J141" s="882">
        <f t="shared" si="7"/>
        <v>0</v>
      </c>
      <c r="K141" s="882"/>
      <c r="L141" s="1106"/>
      <c r="M141" s="882">
        <f t="shared" si="1"/>
        <v>0</v>
      </c>
      <c r="N141" s="1106"/>
      <c r="O141" s="882">
        <f t="shared" si="2"/>
        <v>0</v>
      </c>
      <c r="P141" s="882">
        <f t="shared" si="3"/>
        <v>0</v>
      </c>
    </row>
    <row r="142" spans="2:16" ht="12.75">
      <c r="B142" s="441"/>
      <c r="C142" s="878">
        <f>IF(D96="","-",+C141+1)</f>
        <v>2055</v>
      </c>
      <c r="D142" s="827">
        <f t="shared" si="4"/>
        <v>0</v>
      </c>
      <c r="E142" s="884">
        <f t="shared" si="5"/>
        <v>0</v>
      </c>
      <c r="F142" s="884">
        <f t="shared" si="0"/>
        <v>0</v>
      </c>
      <c r="G142" s="827">
        <f t="shared" si="6"/>
        <v>0</v>
      </c>
      <c r="H142" s="879">
        <f>+J97*G142+E142</f>
        <v>0</v>
      </c>
      <c r="I142" s="885">
        <f>+J98*G142+E142</f>
        <v>0</v>
      </c>
      <c r="J142" s="882">
        <f t="shared" si="7"/>
        <v>0</v>
      </c>
      <c r="K142" s="882"/>
      <c r="L142" s="1106"/>
      <c r="M142" s="882">
        <f t="shared" si="1"/>
        <v>0</v>
      </c>
      <c r="N142" s="1106"/>
      <c r="O142" s="882">
        <f t="shared" si="2"/>
        <v>0</v>
      </c>
      <c r="P142" s="882">
        <f t="shared" si="3"/>
        <v>0</v>
      </c>
    </row>
    <row r="143" spans="2:16" ht="12.75">
      <c r="B143" s="441"/>
      <c r="C143" s="878">
        <f>IF(D96="","-",+C142+1)</f>
        <v>2056</v>
      </c>
      <c r="D143" s="827">
        <f t="shared" si="4"/>
        <v>0</v>
      </c>
      <c r="E143" s="884">
        <f t="shared" si="5"/>
        <v>0</v>
      </c>
      <c r="F143" s="884">
        <f t="shared" si="0"/>
        <v>0</v>
      </c>
      <c r="G143" s="827">
        <f t="shared" si="6"/>
        <v>0</v>
      </c>
      <c r="H143" s="879">
        <f>+J97*G143+E143</f>
        <v>0</v>
      </c>
      <c r="I143" s="885">
        <f>+J98*G143+E143</f>
        <v>0</v>
      </c>
      <c r="J143" s="882">
        <f t="shared" si="7"/>
        <v>0</v>
      </c>
      <c r="K143" s="882"/>
      <c r="L143" s="1106"/>
      <c r="M143" s="882">
        <f t="shared" si="1"/>
        <v>0</v>
      </c>
      <c r="N143" s="1106"/>
      <c r="O143" s="882">
        <f t="shared" si="2"/>
        <v>0</v>
      </c>
      <c r="P143" s="882">
        <f t="shared" si="3"/>
        <v>0</v>
      </c>
    </row>
    <row r="144" spans="2:16" ht="12.75">
      <c r="B144" s="441"/>
      <c r="C144" s="878">
        <f>IF(D96="","-",+C143+1)</f>
        <v>2057</v>
      </c>
      <c r="D144" s="827">
        <f t="shared" si="4"/>
        <v>0</v>
      </c>
      <c r="E144" s="884">
        <f t="shared" si="5"/>
        <v>0</v>
      </c>
      <c r="F144" s="884">
        <f t="shared" si="0"/>
        <v>0</v>
      </c>
      <c r="G144" s="827">
        <f t="shared" si="6"/>
        <v>0</v>
      </c>
      <c r="H144" s="879">
        <f>+J97*G144+E144</f>
        <v>0</v>
      </c>
      <c r="I144" s="885">
        <f>+J98*G144+E144</f>
        <v>0</v>
      </c>
      <c r="J144" s="882">
        <f t="shared" si="7"/>
        <v>0</v>
      </c>
      <c r="K144" s="882"/>
      <c r="L144" s="1106"/>
      <c r="M144" s="882">
        <f t="shared" si="1"/>
        <v>0</v>
      </c>
      <c r="N144" s="1106"/>
      <c r="O144" s="882">
        <f t="shared" si="2"/>
        <v>0</v>
      </c>
      <c r="P144" s="882">
        <f t="shared" si="3"/>
        <v>0</v>
      </c>
    </row>
    <row r="145" spans="2:16" ht="12.75">
      <c r="B145" s="441"/>
      <c r="C145" s="878">
        <f>IF(D96="","-",+C144+1)</f>
        <v>2058</v>
      </c>
      <c r="D145" s="827">
        <f t="shared" si="4"/>
        <v>0</v>
      </c>
      <c r="E145" s="884">
        <f t="shared" si="5"/>
        <v>0</v>
      </c>
      <c r="F145" s="884">
        <f t="shared" si="0"/>
        <v>0</v>
      </c>
      <c r="G145" s="827">
        <f t="shared" si="6"/>
        <v>0</v>
      </c>
      <c r="H145" s="879">
        <f>+J97*G145+E145</f>
        <v>0</v>
      </c>
      <c r="I145" s="885">
        <f>+J98*G145+E145</f>
        <v>0</v>
      </c>
      <c r="J145" s="882">
        <f t="shared" si="7"/>
        <v>0</v>
      </c>
      <c r="K145" s="882"/>
      <c r="L145" s="1106"/>
      <c r="M145" s="882">
        <f t="shared" si="1"/>
        <v>0</v>
      </c>
      <c r="N145" s="1106"/>
      <c r="O145" s="882">
        <f t="shared" si="2"/>
        <v>0</v>
      </c>
      <c r="P145" s="882">
        <f t="shared" si="3"/>
        <v>0</v>
      </c>
    </row>
    <row r="146" spans="2:16" ht="12.75">
      <c r="B146" s="441"/>
      <c r="C146" s="878">
        <f>IF(D96="","-",+C145+1)</f>
        <v>2059</v>
      </c>
      <c r="D146" s="827">
        <f t="shared" si="4"/>
        <v>0</v>
      </c>
      <c r="E146" s="884">
        <f t="shared" si="5"/>
        <v>0</v>
      </c>
      <c r="F146" s="884">
        <f t="shared" si="0"/>
        <v>0</v>
      </c>
      <c r="G146" s="827">
        <f t="shared" si="6"/>
        <v>0</v>
      </c>
      <c r="H146" s="879">
        <f>+J97*G146+E146</f>
        <v>0</v>
      </c>
      <c r="I146" s="885">
        <f>+J98*G146+E146</f>
        <v>0</v>
      </c>
      <c r="J146" s="882">
        <f t="shared" si="7"/>
        <v>0</v>
      </c>
      <c r="K146" s="882"/>
      <c r="L146" s="1106"/>
      <c r="M146" s="882">
        <f t="shared" si="1"/>
        <v>0</v>
      </c>
      <c r="N146" s="1106"/>
      <c r="O146" s="882">
        <f t="shared" si="2"/>
        <v>0</v>
      </c>
      <c r="P146" s="882">
        <f t="shared" si="3"/>
        <v>0</v>
      </c>
    </row>
    <row r="147" spans="2:16" ht="12.75">
      <c r="B147" s="441"/>
      <c r="C147" s="878">
        <f>IF(D96="","-",+C146+1)</f>
        <v>2060</v>
      </c>
      <c r="D147" s="827">
        <f t="shared" si="4"/>
        <v>0</v>
      </c>
      <c r="E147" s="884">
        <f t="shared" si="5"/>
        <v>0</v>
      </c>
      <c r="F147" s="884">
        <f t="shared" si="0"/>
        <v>0</v>
      </c>
      <c r="G147" s="827">
        <f t="shared" si="6"/>
        <v>0</v>
      </c>
      <c r="H147" s="879">
        <f>+J97*G147+E147</f>
        <v>0</v>
      </c>
      <c r="I147" s="885">
        <f>+J98*G147+E147</f>
        <v>0</v>
      </c>
      <c r="J147" s="882">
        <f t="shared" si="7"/>
        <v>0</v>
      </c>
      <c r="K147" s="882"/>
      <c r="L147" s="1106"/>
      <c r="M147" s="882">
        <f t="shared" si="1"/>
        <v>0</v>
      </c>
      <c r="N147" s="1106"/>
      <c r="O147" s="882">
        <f t="shared" si="2"/>
        <v>0</v>
      </c>
      <c r="P147" s="882">
        <f t="shared" si="3"/>
        <v>0</v>
      </c>
    </row>
    <row r="148" spans="2:16" ht="12.75">
      <c r="B148" s="441"/>
      <c r="C148" s="878">
        <f>IF(D96="","-",+C147+1)</f>
        <v>2061</v>
      </c>
      <c r="D148" s="827">
        <f t="shared" si="4"/>
        <v>0</v>
      </c>
      <c r="E148" s="884">
        <f t="shared" si="5"/>
        <v>0</v>
      </c>
      <c r="F148" s="884">
        <f t="shared" si="0"/>
        <v>0</v>
      </c>
      <c r="G148" s="827">
        <f t="shared" si="6"/>
        <v>0</v>
      </c>
      <c r="H148" s="879">
        <f>+J97*G148+E148</f>
        <v>0</v>
      </c>
      <c r="I148" s="885">
        <f>+J98*G148+E148</f>
        <v>0</v>
      </c>
      <c r="J148" s="882">
        <f t="shared" si="7"/>
        <v>0</v>
      </c>
      <c r="K148" s="882"/>
      <c r="L148" s="1106"/>
      <c r="M148" s="882">
        <f t="shared" si="1"/>
        <v>0</v>
      </c>
      <c r="N148" s="1106"/>
      <c r="O148" s="882">
        <f t="shared" si="2"/>
        <v>0</v>
      </c>
      <c r="P148" s="882">
        <f t="shared" si="3"/>
        <v>0</v>
      </c>
    </row>
    <row r="149" spans="2:16" ht="12.75">
      <c r="B149" s="441"/>
      <c r="C149" s="878">
        <f>IF(D96="","-",+C148+1)</f>
        <v>2062</v>
      </c>
      <c r="D149" s="827">
        <f t="shared" si="4"/>
        <v>0</v>
      </c>
      <c r="E149" s="884">
        <f t="shared" si="5"/>
        <v>0</v>
      </c>
      <c r="F149" s="884">
        <f t="shared" si="0"/>
        <v>0</v>
      </c>
      <c r="G149" s="827">
        <f t="shared" si="6"/>
        <v>0</v>
      </c>
      <c r="H149" s="879">
        <f>+J97*G149+E149</f>
        <v>0</v>
      </c>
      <c r="I149" s="885">
        <f>+J98*G149+E149</f>
        <v>0</v>
      </c>
      <c r="J149" s="882">
        <f t="shared" si="7"/>
        <v>0</v>
      </c>
      <c r="K149" s="882"/>
      <c r="L149" s="1106"/>
      <c r="M149" s="882">
        <f t="shared" si="1"/>
        <v>0</v>
      </c>
      <c r="N149" s="1106"/>
      <c r="O149" s="882">
        <f t="shared" si="2"/>
        <v>0</v>
      </c>
      <c r="P149" s="882">
        <f t="shared" si="3"/>
        <v>0</v>
      </c>
    </row>
    <row r="150" spans="2:16" ht="12.75">
      <c r="B150" s="441"/>
      <c r="C150" s="878">
        <f>IF(D96="","-",+C149+1)</f>
        <v>2063</v>
      </c>
      <c r="D150" s="827">
        <f t="shared" si="4"/>
        <v>0</v>
      </c>
      <c r="E150" s="884">
        <f t="shared" si="5"/>
        <v>0</v>
      </c>
      <c r="F150" s="884">
        <f t="shared" si="0"/>
        <v>0</v>
      </c>
      <c r="G150" s="827">
        <f t="shared" si="6"/>
        <v>0</v>
      </c>
      <c r="H150" s="879">
        <f>+J97*G150+E150</f>
        <v>0</v>
      </c>
      <c r="I150" s="885">
        <f>+J98*G150+E150</f>
        <v>0</v>
      </c>
      <c r="J150" s="882">
        <f t="shared" si="7"/>
        <v>0</v>
      </c>
      <c r="K150" s="882"/>
      <c r="L150" s="1106"/>
      <c r="M150" s="882">
        <f t="shared" si="1"/>
        <v>0</v>
      </c>
      <c r="N150" s="1106"/>
      <c r="O150" s="882">
        <f t="shared" si="2"/>
        <v>0</v>
      </c>
      <c r="P150" s="882">
        <f t="shared" si="3"/>
        <v>0</v>
      </c>
    </row>
    <row r="151" spans="2:16" ht="12.75">
      <c r="B151" s="441"/>
      <c r="C151" s="878">
        <f>IF(D96="","-",+C150+1)</f>
        <v>2064</v>
      </c>
      <c r="D151" s="827">
        <f t="shared" si="4"/>
        <v>0</v>
      </c>
      <c r="E151" s="884">
        <f t="shared" si="5"/>
        <v>0</v>
      </c>
      <c r="F151" s="884">
        <f t="shared" si="0"/>
        <v>0</v>
      </c>
      <c r="G151" s="827">
        <f t="shared" si="6"/>
        <v>0</v>
      </c>
      <c r="H151" s="879">
        <f>+J97*G151+E151</f>
        <v>0</v>
      </c>
      <c r="I151" s="885">
        <f>+J98*G151+E151</f>
        <v>0</v>
      </c>
      <c r="J151" s="882">
        <f t="shared" si="7"/>
        <v>0</v>
      </c>
      <c r="K151" s="882"/>
      <c r="L151" s="1106"/>
      <c r="M151" s="882">
        <f t="shared" si="1"/>
        <v>0</v>
      </c>
      <c r="N151" s="1106"/>
      <c r="O151" s="882">
        <f t="shared" si="2"/>
        <v>0</v>
      </c>
      <c r="P151" s="882">
        <f t="shared" si="3"/>
        <v>0</v>
      </c>
    </row>
    <row r="152" spans="2:16" ht="12.75">
      <c r="B152" s="441"/>
      <c r="C152" s="878">
        <f>IF(D96="","-",+C151+1)</f>
        <v>2065</v>
      </c>
      <c r="D152" s="827">
        <f t="shared" si="4"/>
        <v>0</v>
      </c>
      <c r="E152" s="884">
        <f t="shared" si="5"/>
        <v>0</v>
      </c>
      <c r="F152" s="884">
        <f t="shared" si="0"/>
        <v>0</v>
      </c>
      <c r="G152" s="827">
        <f t="shared" si="6"/>
        <v>0</v>
      </c>
      <c r="H152" s="879">
        <f>+J97*G152+E152</f>
        <v>0</v>
      </c>
      <c r="I152" s="885">
        <f>+J98*G152+E152</f>
        <v>0</v>
      </c>
      <c r="J152" s="882">
        <f t="shared" si="7"/>
        <v>0</v>
      </c>
      <c r="K152" s="882"/>
      <c r="L152" s="1106"/>
      <c r="M152" s="882">
        <f t="shared" si="1"/>
        <v>0</v>
      </c>
      <c r="N152" s="1106"/>
      <c r="O152" s="882">
        <f t="shared" si="2"/>
        <v>0</v>
      </c>
      <c r="P152" s="882">
        <f t="shared" si="3"/>
        <v>0</v>
      </c>
    </row>
    <row r="153" spans="2:16" ht="12.75">
      <c r="B153" s="441"/>
      <c r="C153" s="878">
        <f>IF(D96="","-",+C152+1)</f>
        <v>2066</v>
      </c>
      <c r="D153" s="827">
        <f t="shared" si="4"/>
        <v>0</v>
      </c>
      <c r="E153" s="884">
        <f t="shared" si="5"/>
        <v>0</v>
      </c>
      <c r="F153" s="884">
        <f t="shared" si="0"/>
        <v>0</v>
      </c>
      <c r="G153" s="827">
        <f t="shared" si="6"/>
        <v>0</v>
      </c>
      <c r="H153" s="879">
        <f>+J97*G153+E153</f>
        <v>0</v>
      </c>
      <c r="I153" s="885">
        <f>+J98*G153+E153</f>
        <v>0</v>
      </c>
      <c r="J153" s="882">
        <f t="shared" si="7"/>
        <v>0</v>
      </c>
      <c r="K153" s="882"/>
      <c r="L153" s="1106"/>
      <c r="M153" s="882">
        <f t="shared" si="1"/>
        <v>0</v>
      </c>
      <c r="N153" s="1106"/>
      <c r="O153" s="882">
        <f t="shared" si="2"/>
        <v>0</v>
      </c>
      <c r="P153" s="882">
        <f t="shared" si="3"/>
        <v>0</v>
      </c>
    </row>
    <row r="154" spans="2:16" ht="12.75">
      <c r="B154" s="441"/>
      <c r="C154" s="878">
        <f>IF(D96="","-",+C153+1)</f>
        <v>2067</v>
      </c>
      <c r="D154" s="827">
        <f t="shared" si="4"/>
        <v>0</v>
      </c>
      <c r="E154" s="884">
        <f t="shared" si="5"/>
        <v>0</v>
      </c>
      <c r="F154" s="884">
        <f t="shared" si="0"/>
        <v>0</v>
      </c>
      <c r="G154" s="827">
        <f t="shared" si="6"/>
        <v>0</v>
      </c>
      <c r="H154" s="879">
        <f>+J97*G154+E154</f>
        <v>0</v>
      </c>
      <c r="I154" s="885">
        <f>+J98*G154+E154</f>
        <v>0</v>
      </c>
      <c r="J154" s="882">
        <f t="shared" si="7"/>
        <v>0</v>
      </c>
      <c r="K154" s="882"/>
      <c r="L154" s="1106"/>
      <c r="M154" s="882">
        <f t="shared" si="1"/>
        <v>0</v>
      </c>
      <c r="N154" s="1106"/>
      <c r="O154" s="882">
        <f t="shared" si="2"/>
        <v>0</v>
      </c>
      <c r="P154" s="882">
        <f t="shared" si="3"/>
        <v>0</v>
      </c>
    </row>
    <row r="155" spans="2:16" ht="12.75">
      <c r="B155" s="441"/>
      <c r="C155" s="878">
        <f>IF(D96="","-",+C154+1)</f>
        <v>2068</v>
      </c>
      <c r="D155" s="827">
        <f t="shared" si="4"/>
        <v>0</v>
      </c>
      <c r="E155" s="884">
        <f t="shared" si="5"/>
        <v>0</v>
      </c>
      <c r="F155" s="884">
        <f t="shared" si="0"/>
        <v>0</v>
      </c>
      <c r="G155" s="827">
        <f t="shared" si="6"/>
        <v>0</v>
      </c>
      <c r="H155" s="879">
        <f>+J97*G155+E155</f>
        <v>0</v>
      </c>
      <c r="I155" s="885">
        <f>+J98*G155+E155</f>
        <v>0</v>
      </c>
      <c r="J155" s="882">
        <f t="shared" si="7"/>
        <v>0</v>
      </c>
      <c r="K155" s="882"/>
      <c r="L155" s="1106"/>
      <c r="M155" s="882">
        <f t="shared" si="1"/>
        <v>0</v>
      </c>
      <c r="N155" s="1106"/>
      <c r="O155" s="882">
        <f t="shared" si="2"/>
        <v>0</v>
      </c>
      <c r="P155" s="882">
        <f t="shared" si="3"/>
        <v>0</v>
      </c>
    </row>
    <row r="156" spans="2:16" ht="12.75">
      <c r="B156" s="441"/>
      <c r="C156" s="878">
        <f>IF(D96="","-",+C155+1)</f>
        <v>2069</v>
      </c>
      <c r="D156" s="827">
        <f>F155</f>
        <v>0</v>
      </c>
      <c r="E156" s="884">
        <f t="shared" si="5"/>
        <v>0</v>
      </c>
      <c r="F156" s="884">
        <f t="shared" si="0"/>
        <v>0</v>
      </c>
      <c r="G156" s="827">
        <f t="shared" si="6"/>
        <v>0</v>
      </c>
      <c r="H156" s="879">
        <f>+J97*G156+E156</f>
        <v>0</v>
      </c>
      <c r="I156" s="885">
        <f>+J98*G156+E156</f>
        <v>0</v>
      </c>
      <c r="J156" s="882">
        <f t="shared" si="7"/>
        <v>0</v>
      </c>
      <c r="K156" s="882"/>
      <c r="L156" s="1106"/>
      <c r="M156" s="882">
        <f t="shared" si="1"/>
        <v>0</v>
      </c>
      <c r="N156" s="1106"/>
      <c r="O156" s="882">
        <f t="shared" si="2"/>
        <v>0</v>
      </c>
      <c r="P156" s="882">
        <f t="shared" si="3"/>
        <v>0</v>
      </c>
    </row>
    <row r="157" spans="2:16" ht="12.75">
      <c r="B157" s="441"/>
      <c r="C157" s="878">
        <f>IF(D96="","-",+C156+1)</f>
        <v>2070</v>
      </c>
      <c r="D157" s="827">
        <f t="shared" si="4"/>
        <v>0</v>
      </c>
      <c r="E157" s="884">
        <f t="shared" si="5"/>
        <v>0</v>
      </c>
      <c r="F157" s="884">
        <f t="shared" si="0"/>
        <v>0</v>
      </c>
      <c r="G157" s="827">
        <f t="shared" si="6"/>
        <v>0</v>
      </c>
      <c r="H157" s="879">
        <f>+J97*G157+E157</f>
        <v>0</v>
      </c>
      <c r="I157" s="885">
        <f>+J98*G157+E157</f>
        <v>0</v>
      </c>
      <c r="J157" s="882">
        <f t="shared" si="7"/>
        <v>0</v>
      </c>
      <c r="K157" s="882"/>
      <c r="L157" s="1106"/>
      <c r="M157" s="882">
        <f t="shared" si="1"/>
        <v>0</v>
      </c>
      <c r="N157" s="1106"/>
      <c r="O157" s="882">
        <f t="shared" si="2"/>
        <v>0</v>
      </c>
      <c r="P157" s="882">
        <f t="shared" si="3"/>
        <v>0</v>
      </c>
    </row>
    <row r="158" spans="2:16" ht="12.75">
      <c r="B158" s="441"/>
      <c r="C158" s="878">
        <f>IF(D96="","-",+C157+1)</f>
        <v>2071</v>
      </c>
      <c r="D158" s="827">
        <f t="shared" si="4"/>
        <v>0</v>
      </c>
      <c r="E158" s="884">
        <f t="shared" si="5"/>
        <v>0</v>
      </c>
      <c r="F158" s="884">
        <f t="shared" si="0"/>
        <v>0</v>
      </c>
      <c r="G158" s="827">
        <f t="shared" si="6"/>
        <v>0</v>
      </c>
      <c r="H158" s="879">
        <f>+J97*G158+E158</f>
        <v>0</v>
      </c>
      <c r="I158" s="885">
        <f>+J98*G158+E158</f>
        <v>0</v>
      </c>
      <c r="J158" s="882">
        <f t="shared" si="7"/>
        <v>0</v>
      </c>
      <c r="K158" s="882"/>
      <c r="L158" s="1106"/>
      <c r="M158" s="882">
        <f t="shared" si="1"/>
        <v>0</v>
      </c>
      <c r="N158" s="1106"/>
      <c r="O158" s="882">
        <f t="shared" si="2"/>
        <v>0</v>
      </c>
      <c r="P158" s="882">
        <f t="shared" si="3"/>
        <v>0</v>
      </c>
    </row>
    <row r="159" spans="2:16" ht="12.75">
      <c r="B159" s="441"/>
      <c r="C159" s="878">
        <f>IF(D96="","-",+C158+1)</f>
        <v>2072</v>
      </c>
      <c r="D159" s="827">
        <f t="shared" si="4"/>
        <v>0</v>
      </c>
      <c r="E159" s="884">
        <f t="shared" si="5"/>
        <v>0</v>
      </c>
      <c r="F159" s="884">
        <f t="shared" si="0"/>
        <v>0</v>
      </c>
      <c r="G159" s="827">
        <f t="shared" si="6"/>
        <v>0</v>
      </c>
      <c r="H159" s="879">
        <f>+J97*G159+E159</f>
        <v>0</v>
      </c>
      <c r="I159" s="885">
        <f>+J98*G159+E159</f>
        <v>0</v>
      </c>
      <c r="J159" s="882">
        <f t="shared" si="7"/>
        <v>0</v>
      </c>
      <c r="K159" s="882"/>
      <c r="L159" s="1106"/>
      <c r="M159" s="882">
        <f t="shared" si="1"/>
        <v>0</v>
      </c>
      <c r="N159" s="1106"/>
      <c r="O159" s="882">
        <f t="shared" si="2"/>
        <v>0</v>
      </c>
      <c r="P159" s="882">
        <f t="shared" si="3"/>
        <v>0</v>
      </c>
    </row>
    <row r="160" spans="2:16" ht="12.75">
      <c r="B160" s="441"/>
      <c r="C160" s="878">
        <f>IF(D96="","-",+C159+1)</f>
        <v>2073</v>
      </c>
      <c r="D160" s="827">
        <f t="shared" si="4"/>
        <v>0</v>
      </c>
      <c r="E160" s="884">
        <f t="shared" si="5"/>
        <v>0</v>
      </c>
      <c r="F160" s="884">
        <f t="shared" si="0"/>
        <v>0</v>
      </c>
      <c r="G160" s="827">
        <f t="shared" si="6"/>
        <v>0</v>
      </c>
      <c r="H160" s="879">
        <f>+J97*G160+E160</f>
        <v>0</v>
      </c>
      <c r="I160" s="885">
        <f>+J98*G160+E160</f>
        <v>0</v>
      </c>
      <c r="J160" s="882">
        <f t="shared" si="7"/>
        <v>0</v>
      </c>
      <c r="K160" s="882"/>
      <c r="L160" s="1106"/>
      <c r="M160" s="882">
        <f t="shared" si="1"/>
        <v>0</v>
      </c>
      <c r="N160" s="1106"/>
      <c r="O160" s="882">
        <f t="shared" si="2"/>
        <v>0</v>
      </c>
      <c r="P160" s="882">
        <f t="shared" si="3"/>
        <v>0</v>
      </c>
    </row>
    <row r="161" spans="2:16" ht="13.5" thickBot="1">
      <c r="B161" s="441"/>
      <c r="C161" s="887">
        <f>IF(D96="","-",+C160+1)</f>
        <v>2074</v>
      </c>
      <c r="D161" s="888">
        <f t="shared" si="4"/>
        <v>0</v>
      </c>
      <c r="E161" s="889">
        <f t="shared" si="5"/>
        <v>0</v>
      </c>
      <c r="F161" s="889">
        <f t="shared" si="0"/>
        <v>0</v>
      </c>
      <c r="G161" s="888">
        <f t="shared" si="6"/>
        <v>0</v>
      </c>
      <c r="H161" s="890">
        <f>+J97*G161+E161</f>
        <v>0</v>
      </c>
      <c r="I161" s="890">
        <f>+J98*G161+E161</f>
        <v>0</v>
      </c>
      <c r="J161" s="891">
        <f t="shared" si="7"/>
        <v>0</v>
      </c>
      <c r="K161" s="882"/>
      <c r="L161" s="1107"/>
      <c r="M161" s="891">
        <f t="shared" si="1"/>
        <v>0</v>
      </c>
      <c r="N161" s="1107"/>
      <c r="O161" s="891">
        <f t="shared" si="2"/>
        <v>0</v>
      </c>
      <c r="P161" s="891">
        <f t="shared" si="3"/>
        <v>0</v>
      </c>
    </row>
    <row r="162" spans="2:15" ht="12.75">
      <c r="B162" s="441"/>
      <c r="C162" s="827" t="s">
        <v>365</v>
      </c>
      <c r="D162" s="821"/>
      <c r="E162" s="821">
        <f>SUM(E102:E161)</f>
        <v>0</v>
      </c>
      <c r="F162" s="821"/>
      <c r="G162" s="821"/>
      <c r="H162" s="821">
        <f>SUM(H102:H161)</f>
        <v>0</v>
      </c>
      <c r="I162" s="821">
        <f>SUM(I102:I161)</f>
        <v>0</v>
      </c>
      <c r="J162" s="821">
        <f>SUM(J102:J161)</f>
        <v>0</v>
      </c>
      <c r="K162" s="821"/>
      <c r="L162" s="821"/>
      <c r="M162" s="821"/>
      <c r="N162" s="821"/>
      <c r="O162" s="821"/>
    </row>
    <row r="163" spans="2:15" ht="12.75">
      <c r="B163" s="441"/>
      <c r="D163" s="714"/>
      <c r="E163" s="680"/>
      <c r="F163" s="680"/>
      <c r="G163" s="680"/>
      <c r="H163" s="680"/>
      <c r="I163" s="797"/>
      <c r="J163" s="797"/>
      <c r="K163" s="821"/>
      <c r="L163" s="797"/>
      <c r="M163" s="797"/>
      <c r="N163" s="797"/>
      <c r="O163" s="797"/>
    </row>
    <row r="164" spans="2:15" ht="12.75">
      <c r="B164" s="441"/>
      <c r="C164" s="680" t="s">
        <v>780</v>
      </c>
      <c r="D164" s="714"/>
      <c r="E164" s="680"/>
      <c r="F164" s="680"/>
      <c r="G164" s="680"/>
      <c r="H164" s="680"/>
      <c r="I164" s="797"/>
      <c r="J164" s="797"/>
      <c r="K164" s="821"/>
      <c r="L164" s="797"/>
      <c r="M164" s="797"/>
      <c r="N164" s="797"/>
      <c r="O164" s="797"/>
    </row>
    <row r="165" spans="2:15" ht="12.75">
      <c r="B165" s="441"/>
      <c r="C165" s="680"/>
      <c r="D165" s="714"/>
      <c r="E165" s="680"/>
      <c r="F165" s="680"/>
      <c r="G165" s="680"/>
      <c r="H165" s="680"/>
      <c r="I165" s="797"/>
      <c r="J165" s="797"/>
      <c r="K165" s="821"/>
      <c r="L165" s="797"/>
      <c r="M165" s="797"/>
      <c r="N165" s="797"/>
      <c r="O165" s="797"/>
    </row>
    <row r="166" spans="2:15" ht="12.75">
      <c r="B166" s="441"/>
      <c r="C166" s="839" t="s">
        <v>839</v>
      </c>
      <c r="D166" s="827"/>
      <c r="E166" s="827"/>
      <c r="F166" s="827"/>
      <c r="G166" s="827"/>
      <c r="H166" s="821"/>
      <c r="I166" s="821"/>
      <c r="J166" s="828"/>
      <c r="K166" s="828"/>
      <c r="L166" s="828"/>
      <c r="M166" s="828"/>
      <c r="N166" s="828"/>
      <c r="O166" s="828"/>
    </row>
    <row r="167" spans="2:15" ht="12.75">
      <c r="B167" s="441"/>
      <c r="C167" s="826" t="s">
        <v>605</v>
      </c>
      <c r="D167" s="827"/>
      <c r="E167" s="827"/>
      <c r="F167" s="827"/>
      <c r="G167" s="827"/>
      <c r="H167" s="821"/>
      <c r="I167" s="821"/>
      <c r="J167" s="828"/>
      <c r="K167" s="828"/>
      <c r="L167" s="828"/>
      <c r="M167" s="828"/>
      <c r="N167" s="828"/>
      <c r="O167" s="828"/>
    </row>
    <row r="168" spans="2:15" ht="12.75">
      <c r="B168" s="441"/>
      <c r="C168" s="826" t="s">
        <v>366</v>
      </c>
      <c r="D168" s="827"/>
      <c r="E168" s="827"/>
      <c r="F168" s="827"/>
      <c r="G168" s="827"/>
      <c r="H168" s="821"/>
      <c r="I168" s="821"/>
      <c r="J168" s="828"/>
      <c r="K168" s="828"/>
      <c r="L168" s="828"/>
      <c r="M168" s="828"/>
      <c r="N168" s="828"/>
      <c r="O168" s="828"/>
    </row>
  </sheetData>
  <sheetProtection password="CA99" sheet="1" objects="1" scenarios="1"/>
  <mergeCells count="9">
    <mergeCell ref="C58:D59"/>
    <mergeCell ref="C69:D70"/>
    <mergeCell ref="L95:O95"/>
    <mergeCell ref="A1:P1"/>
    <mergeCell ref="C9:I10"/>
    <mergeCell ref="A2:P2"/>
    <mergeCell ref="A3:P3"/>
    <mergeCell ref="A4:P4"/>
    <mergeCell ref="C49:D50"/>
  </mergeCells>
  <conditionalFormatting sqref="C102:C161">
    <cfRule type="cellIs" priority="1" dxfId="1"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46"/>
  <sheetViews>
    <sheetView zoomScaleSheetLayoutView="100" zoomScalePageLayoutView="0" workbookViewId="0" topLeftCell="A1">
      <selection activeCell="B2" sqref="B2:F2"/>
    </sheetView>
  </sheetViews>
  <sheetFormatPr defaultColWidth="9.140625" defaultRowHeight="12.75"/>
  <cols>
    <col min="1" max="1" width="9.140625" style="33" customWidth="1"/>
    <col min="2" max="2" width="37.57421875" style="217" customWidth="1"/>
    <col min="3" max="3" width="31.57421875" style="215" customWidth="1"/>
    <col min="4" max="4" width="14.8515625" style="215" customWidth="1"/>
    <col min="5" max="5" width="18.00390625" style="215" customWidth="1"/>
    <col min="6" max="7" width="11.140625" style="215" bestFit="1" customWidth="1"/>
    <col min="8" max="8" width="11.140625" style="313" bestFit="1" customWidth="1"/>
    <col min="9" max="16384" width="9.140625" style="215" customWidth="1"/>
  </cols>
  <sheetData>
    <row r="1" spans="2:16" ht="15">
      <c r="B1" s="1203" t="s">
        <v>491</v>
      </c>
      <c r="C1" s="1203"/>
      <c r="D1" s="1203"/>
      <c r="E1" s="1203"/>
      <c r="F1" s="1203"/>
      <c r="G1" s="41"/>
      <c r="H1" s="309"/>
      <c r="I1" s="41"/>
      <c r="J1" s="41"/>
      <c r="K1" s="41"/>
      <c r="L1" s="41"/>
      <c r="M1" s="41"/>
      <c r="N1" s="41"/>
      <c r="O1" s="41"/>
      <c r="P1" s="41"/>
    </row>
    <row r="2" spans="2:16" ht="15">
      <c r="B2" s="1202" t="str">
        <f>"Cost of Service Formula Rate Using "&amp;'KP TCOS'!L2&amp;" FF1 Balances"</f>
        <v>Cost of Service Formula Rate Using 2017 FF1 Balances</v>
      </c>
      <c r="C2" s="1202"/>
      <c r="D2" s="1202"/>
      <c r="E2" s="1202"/>
      <c r="F2" s="1202"/>
      <c r="G2" s="115"/>
      <c r="H2" s="310"/>
      <c r="I2" s="115"/>
      <c r="J2" s="115"/>
      <c r="K2" s="115"/>
      <c r="L2" s="115"/>
      <c r="M2" s="115"/>
      <c r="N2" s="115"/>
      <c r="O2" s="115"/>
      <c r="P2" s="115"/>
    </row>
    <row r="3" spans="2:11" ht="18">
      <c r="B3" s="1203" t="s">
        <v>716</v>
      </c>
      <c r="C3" s="1203"/>
      <c r="D3" s="1203"/>
      <c r="E3" s="1203"/>
      <c r="F3" s="1203"/>
      <c r="G3" s="184"/>
      <c r="H3" s="311"/>
      <c r="I3" s="184"/>
      <c r="J3" s="184"/>
      <c r="K3" s="184"/>
    </row>
    <row r="4" spans="2:11" ht="18">
      <c r="B4" s="1206" t="str">
        <f>+'KP TCOS'!F7</f>
        <v>KENTUCKY POWER COMPANY</v>
      </c>
      <c r="C4" s="1203"/>
      <c r="D4" s="1203"/>
      <c r="E4" s="1203"/>
      <c r="F4" s="1203"/>
      <c r="G4" s="196"/>
      <c r="H4" s="312"/>
      <c r="I4" s="196"/>
      <c r="J4" s="196"/>
      <c r="K4" s="196"/>
    </row>
    <row r="6" spans="2:4" ht="18.75" customHeight="1">
      <c r="B6" s="20"/>
      <c r="C6" s="173"/>
      <c r="D6" s="216"/>
    </row>
    <row r="8" spans="2:30" ht="18">
      <c r="B8" s="9"/>
      <c r="C8" s="9"/>
      <c r="D8" s="9"/>
      <c r="E8" s="9"/>
      <c r="F8" s="9"/>
      <c r="R8" s="183"/>
      <c r="S8" s="183"/>
      <c r="T8" s="183"/>
      <c r="U8" s="183"/>
      <c r="V8" s="183"/>
      <c r="W8" s="183"/>
      <c r="X8" s="183"/>
      <c r="Y8" s="183"/>
      <c r="Z8" s="183"/>
      <c r="AA8" s="183"/>
      <c r="AB8" s="232"/>
      <c r="AC8" s="232"/>
      <c r="AD8" s="232"/>
    </row>
    <row r="9" spans="1:6" ht="12.75">
      <c r="A9" s="1205"/>
      <c r="B9" s="172"/>
      <c r="C9" s="174"/>
      <c r="D9" s="10"/>
      <c r="E9" s="10"/>
      <c r="F9" s="10"/>
    </row>
    <row r="10" spans="1:7" ht="12.75">
      <c r="A10" s="1239"/>
      <c r="B10" s="14"/>
      <c r="C10" s="14"/>
      <c r="D10" s="14"/>
      <c r="E10" s="14"/>
      <c r="F10" s="14"/>
      <c r="G10" s="12"/>
    </row>
    <row r="11" spans="1:7" ht="12.75">
      <c r="A11" s="287"/>
      <c r="B11" s="14"/>
      <c r="C11" s="14"/>
      <c r="D11" s="14"/>
      <c r="E11" s="1124"/>
      <c r="F11" s="14"/>
      <c r="G11" s="12"/>
    </row>
    <row r="12" spans="1:8" ht="12.75">
      <c r="A12" s="354"/>
      <c r="B12" s="29"/>
      <c r="C12" s="14"/>
      <c r="D12" s="14"/>
      <c r="E12" s="1124"/>
      <c r="F12" s="10"/>
      <c r="H12" s="215"/>
    </row>
    <row r="13" spans="1:8" ht="12.75">
      <c r="A13" s="354"/>
      <c r="B13" s="252"/>
      <c r="C13" s="174"/>
      <c r="D13" s="174"/>
      <c r="E13" s="10"/>
      <c r="F13" s="10"/>
      <c r="H13" s="215"/>
    </row>
    <row r="14" spans="1:8" ht="12.75">
      <c r="A14" s="354"/>
      <c r="B14" s="1109"/>
      <c r="C14" s="1092"/>
      <c r="D14" s="1110"/>
      <c r="E14" s="251"/>
      <c r="F14" s="10"/>
      <c r="H14" s="215"/>
    </row>
    <row r="15" spans="1:8" ht="12.75" customHeight="1">
      <c r="A15" s="354"/>
      <c r="B15" s="1111"/>
      <c r="C15" s="1112"/>
      <c r="D15" s="1113"/>
      <c r="E15" s="251"/>
      <c r="F15" s="10"/>
      <c r="H15" s="215"/>
    </row>
    <row r="16" spans="1:8" ht="12.75">
      <c r="A16" s="354"/>
      <c r="B16" s="252"/>
      <c r="C16" s="174"/>
      <c r="D16" s="27"/>
      <c r="E16" s="10"/>
      <c r="F16" s="10"/>
      <c r="H16" s="215"/>
    </row>
    <row r="17" spans="1:8" ht="12.75">
      <c r="A17" s="354"/>
      <c r="B17" s="252"/>
      <c r="C17" s="249"/>
      <c r="D17" s="27"/>
      <c r="E17" s="10"/>
      <c r="F17" s="10"/>
      <c r="H17" s="215"/>
    </row>
    <row r="18" spans="1:8" ht="12.75">
      <c r="A18" s="354"/>
      <c r="B18" s="1109"/>
      <c r="C18" s="1092"/>
      <c r="D18" s="1110"/>
      <c r="E18" s="251"/>
      <c r="F18" s="1114"/>
      <c r="H18" s="215"/>
    </row>
    <row r="19" spans="1:8" ht="12.75">
      <c r="A19" s="354"/>
      <c r="B19" s="1109"/>
      <c r="C19" s="1092"/>
      <c r="D19" s="1110"/>
      <c r="E19" s="251"/>
      <c r="F19" s="1114"/>
      <c r="H19" s="215"/>
    </row>
    <row r="20" spans="1:8" ht="12.75">
      <c r="A20" s="354"/>
      <c r="B20" s="1115"/>
      <c r="C20" s="1112"/>
      <c r="D20" s="1116"/>
      <c r="E20" s="251"/>
      <c r="F20" s="1114"/>
      <c r="H20" s="215"/>
    </row>
    <row r="21" spans="1:8" ht="12.75" customHeight="1">
      <c r="A21" s="354"/>
      <c r="B21" s="1115"/>
      <c r="C21" s="1092"/>
      <c r="D21" s="1110"/>
      <c r="E21" s="251"/>
      <c r="F21" s="10"/>
      <c r="H21" s="215"/>
    </row>
    <row r="22" spans="1:8" ht="12.75" customHeight="1">
      <c r="A22" s="354"/>
      <c r="B22" s="1115"/>
      <c r="C22" s="1112"/>
      <c r="D22" s="1116"/>
      <c r="E22" s="251"/>
      <c r="F22" s="10"/>
      <c r="H22" s="215"/>
    </row>
    <row r="23" spans="1:8" ht="12.75" customHeight="1">
      <c r="A23" s="354"/>
      <c r="B23" s="1115"/>
      <c r="C23" s="1112"/>
      <c r="D23" s="1116"/>
      <c r="E23" s="251"/>
      <c r="F23" s="10"/>
      <c r="H23" s="215"/>
    </row>
    <row r="24" spans="1:8" ht="12.75" customHeight="1">
      <c r="A24" s="354"/>
      <c r="B24" s="1115"/>
      <c r="C24" s="1112"/>
      <c r="D24" s="1116"/>
      <c r="E24" s="251"/>
      <c r="F24" s="10"/>
      <c r="H24" s="215"/>
    </row>
    <row r="25" spans="1:8" ht="12.75" customHeight="1">
      <c r="A25" s="354"/>
      <c r="B25" s="1115"/>
      <c r="C25" s="1112"/>
      <c r="D25" s="1116"/>
      <c r="E25" s="251"/>
      <c r="F25" s="10"/>
      <c r="H25" s="215"/>
    </row>
    <row r="26" spans="1:8" ht="12.75" customHeight="1">
      <c r="A26" s="354"/>
      <c r="B26" s="1115"/>
      <c r="C26" s="1112"/>
      <c r="D26" s="1116"/>
      <c r="E26" s="251"/>
      <c r="F26" s="10"/>
      <c r="H26" s="215"/>
    </row>
    <row r="27" spans="1:8" ht="12.75" customHeight="1">
      <c r="A27" s="354"/>
      <c r="B27" s="1115"/>
      <c r="C27" s="1112"/>
      <c r="D27" s="1110"/>
      <c r="E27" s="251"/>
      <c r="F27" s="10"/>
      <c r="H27" s="215"/>
    </row>
    <row r="28" spans="1:8" ht="12.75" customHeight="1">
      <c r="A28" s="354"/>
      <c r="B28" s="1111"/>
      <c r="C28" s="1112"/>
      <c r="D28" s="1110"/>
      <c r="E28" s="251"/>
      <c r="F28" s="10"/>
      <c r="H28" s="215"/>
    </row>
    <row r="29" spans="1:8" ht="12.75" customHeight="1">
      <c r="A29" s="354"/>
      <c r="B29" s="1115"/>
      <c r="C29" s="1112"/>
      <c r="D29" s="1110"/>
      <c r="E29" s="251"/>
      <c r="F29" s="10"/>
      <c r="H29" s="215"/>
    </row>
    <row r="30" spans="1:8" ht="12.75" customHeight="1">
      <c r="A30" s="354"/>
      <c r="B30" s="1111"/>
      <c r="C30" s="1112"/>
      <c r="D30" s="1110"/>
      <c r="E30" s="251"/>
      <c r="F30" s="10"/>
      <c r="H30" s="215"/>
    </row>
    <row r="31" spans="1:8" ht="12.75" customHeight="1">
      <c r="A31" s="354"/>
      <c r="B31" s="1115"/>
      <c r="C31" s="1112"/>
      <c r="D31" s="1117"/>
      <c r="E31" s="277"/>
      <c r="F31" s="10"/>
      <c r="H31" s="215"/>
    </row>
    <row r="32" spans="1:8" ht="12.75" customHeight="1">
      <c r="A32" s="354"/>
      <c r="B32" s="1118"/>
      <c r="C32" s="1118"/>
      <c r="D32" s="1118"/>
      <c r="E32" s="1118"/>
      <c r="F32" s="1119"/>
      <c r="H32" s="215"/>
    </row>
    <row r="33" spans="1:8" ht="12.75" customHeight="1">
      <c r="A33" s="354"/>
      <c r="B33" s="1120"/>
      <c r="C33" s="131"/>
      <c r="D33" s="250"/>
      <c r="E33" s="251"/>
      <c r="F33" s="10"/>
      <c r="H33" s="215"/>
    </row>
    <row r="34" spans="1:8" ht="12.75" customHeight="1">
      <c r="A34" s="354"/>
      <c r="B34" s="253"/>
      <c r="C34" s="249"/>
      <c r="D34" s="250"/>
      <c r="E34" s="277"/>
      <c r="F34" s="1121"/>
      <c r="H34" s="215"/>
    </row>
    <row r="35" spans="1:8" ht="12.75" customHeight="1">
      <c r="A35" s="354"/>
      <c r="B35" s="253"/>
      <c r="C35" s="249"/>
      <c r="D35" s="250"/>
      <c r="E35" s="277"/>
      <c r="F35" s="1121"/>
      <c r="H35" s="215"/>
    </row>
    <row r="36" spans="1:8" ht="12.75" customHeight="1">
      <c r="A36" s="354"/>
      <c r="B36" s="253"/>
      <c r="C36" s="249"/>
      <c r="D36" s="250"/>
      <c r="E36" s="277"/>
      <c r="F36" s="10"/>
      <c r="H36" s="215"/>
    </row>
    <row r="37" spans="1:8" ht="12.75" customHeight="1">
      <c r="A37" s="354"/>
      <c r="B37" s="253"/>
      <c r="C37" s="249"/>
      <c r="D37" s="250"/>
      <c r="E37" s="277"/>
      <c r="F37" s="10"/>
      <c r="H37" s="215"/>
    </row>
    <row r="38" spans="1:8" ht="12.75" customHeight="1">
      <c r="A38" s="354"/>
      <c r="B38" s="253"/>
      <c r="C38" s="131"/>
      <c r="D38" s="250"/>
      <c r="E38" s="251"/>
      <c r="F38" s="10"/>
      <c r="H38" s="215"/>
    </row>
    <row r="39" spans="1:8" ht="12.75" customHeight="1">
      <c r="A39" s="354"/>
      <c r="B39" s="1120"/>
      <c r="C39" s="131"/>
      <c r="D39" s="250"/>
      <c r="E39" s="251"/>
      <c r="F39" s="10"/>
      <c r="H39" s="215"/>
    </row>
    <row r="40" spans="1:8" ht="12.75" customHeight="1">
      <c r="A40" s="354"/>
      <c r="B40" s="253"/>
      <c r="C40" s="249"/>
      <c r="D40" s="250"/>
      <c r="E40" s="277"/>
      <c r="F40" s="10"/>
      <c r="H40" s="215"/>
    </row>
    <row r="41" spans="1:8" ht="1.5" customHeight="1">
      <c r="A41" s="354"/>
      <c r="B41" s="253"/>
      <c r="C41" s="249"/>
      <c r="D41" s="250"/>
      <c r="E41" s="277"/>
      <c r="F41" s="10"/>
      <c r="H41" s="215"/>
    </row>
    <row r="42" spans="1:8" ht="12.75" customHeight="1">
      <c r="A42" s="354"/>
      <c r="B42" s="1122"/>
      <c r="C42" s="174"/>
      <c r="D42" s="10"/>
      <c r="E42" s="1123"/>
      <c r="F42" s="10"/>
      <c r="H42" s="215"/>
    </row>
    <row r="43" spans="2:8" ht="12.75">
      <c r="B43" s="29"/>
      <c r="C43" s="10"/>
      <c r="D43" s="10"/>
      <c r="E43" s="10"/>
      <c r="F43" s="10"/>
      <c r="H43" s="215"/>
    </row>
    <row r="44" spans="2:8" ht="12.75">
      <c r="B44" s="29"/>
      <c r="C44" s="10"/>
      <c r="D44" s="10"/>
      <c r="E44" s="10"/>
      <c r="F44" s="10"/>
      <c r="H44" s="215"/>
    </row>
    <row r="45" spans="2:8" ht="12.75">
      <c r="B45" s="29"/>
      <c r="C45" s="10"/>
      <c r="D45" s="10"/>
      <c r="E45" s="10"/>
      <c r="F45" s="10"/>
      <c r="H45" s="215"/>
    </row>
    <row r="46" spans="2:6" ht="12.75">
      <c r="B46" s="29"/>
      <c r="C46" s="10"/>
      <c r="D46" s="10"/>
      <c r="E46" s="10"/>
      <c r="F46" s="10"/>
    </row>
  </sheetData>
  <sheetProtection password="CA99" sheet="1" objects="1" scenarios="1"/>
  <mergeCells count="5">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1">
      <selection activeCell="C14" sqref="C14"/>
    </sheetView>
  </sheetViews>
  <sheetFormatPr defaultColWidth="9.140625" defaultRowHeight="12.75"/>
  <cols>
    <col min="1" max="1" width="9.140625" style="924" customWidth="1"/>
    <col min="2" max="2" width="48.57421875" style="935" customWidth="1"/>
    <col min="3" max="3" width="24.00390625" style="924" customWidth="1"/>
    <col min="4" max="4" width="17.57421875" style="924" customWidth="1"/>
    <col min="5" max="5" width="19.00390625" style="924" bestFit="1" customWidth="1"/>
    <col min="6" max="6" width="14.57421875" style="924" customWidth="1"/>
    <col min="7" max="7" width="18.57421875" style="924" customWidth="1"/>
    <col min="8" max="8" width="15.7109375" style="925" customWidth="1"/>
    <col min="9" max="9" width="9.8515625" style="925" bestFit="1" customWidth="1"/>
    <col min="10" max="11" width="9.140625" style="925" customWidth="1"/>
    <col min="12" max="12" width="14.8515625" style="925" bestFit="1" customWidth="1"/>
    <col min="13" max="16384" width="9.140625" style="925" customWidth="1"/>
  </cols>
  <sheetData>
    <row r="1" spans="1:5" ht="15">
      <c r="A1" s="1212" t="s">
        <v>489</v>
      </c>
      <c r="B1" s="1212"/>
      <c r="C1" s="1212"/>
      <c r="D1" s="1212"/>
      <c r="E1" s="1212"/>
    </row>
    <row r="2" spans="1:5" ht="15">
      <c r="A2" s="1213" t="s">
        <v>490</v>
      </c>
      <c r="B2" s="1213"/>
      <c r="C2" s="1213"/>
      <c r="D2" s="1213"/>
      <c r="E2" s="1213"/>
    </row>
    <row r="3" spans="1:5" ht="15">
      <c r="A3" s="1214" t="str">
        <f>'KP TCOS'!F7</f>
        <v>KENTUCKY POWER COMPANY</v>
      </c>
      <c r="B3" s="1214"/>
      <c r="C3" s="1214"/>
      <c r="D3" s="1214"/>
      <c r="E3" s="1214"/>
    </row>
    <row r="4" spans="1:5" ht="54.75" customHeight="1">
      <c r="A4" s="1242" t="str">
        <f>"Worksheet M Supporting Calculation of Capital Structure and Weighted Average Cost of Capital Based on Average of Balances At 12/31/"&amp;'KP TCOS'!L2-1&amp;" &amp; 12/31/"&amp;'KP TCOS'!L2&amp;""</f>
        <v>Worksheet M Supporting Calculation of Capital Structure and Weighted Average Cost of Capital Based on Average of Balances At 12/31/2016 &amp; 12/31/2017</v>
      </c>
      <c r="B4" s="1243"/>
      <c r="C4" s="1243"/>
      <c r="D4" s="1243"/>
      <c r="E4" s="1243"/>
    </row>
    <row r="5" spans="1:6" ht="9.75" customHeight="1">
      <c r="A5" s="745"/>
      <c r="B5" s="1213"/>
      <c r="C5" s="1213"/>
      <c r="D5" s="1213"/>
      <c r="E5" s="1213"/>
      <c r="F5" s="1213"/>
    </row>
    <row r="6" spans="1:6" ht="19.5" customHeight="1">
      <c r="A6" s="926" t="s">
        <v>194</v>
      </c>
      <c r="B6" s="926" t="s">
        <v>195</v>
      </c>
      <c r="C6" s="926" t="s">
        <v>9</v>
      </c>
      <c r="D6" s="926" t="s">
        <v>197</v>
      </c>
      <c r="E6" s="926" t="s">
        <v>115</v>
      </c>
      <c r="F6" s="927"/>
    </row>
    <row r="7" spans="1:7" ht="18.75" customHeight="1">
      <c r="A7" s="925"/>
      <c r="B7" s="928"/>
      <c r="C7" s="929" t="s">
        <v>473</v>
      </c>
      <c r="D7" s="929" t="s">
        <v>473</v>
      </c>
      <c r="E7" s="928"/>
      <c r="F7" s="928"/>
      <c r="G7" s="930"/>
    </row>
    <row r="8" spans="1:6" ht="12.75" customHeight="1">
      <c r="A8" s="931" t="s">
        <v>201</v>
      </c>
      <c r="B8" s="928"/>
      <c r="C8" s="932" t="str">
        <f>"12/31/"&amp;'KP TCOS'!L2</f>
        <v>12/31/2017</v>
      </c>
      <c r="D8" s="932" t="str">
        <f>"12/31/"&amp;'KP TCOS'!L2-1</f>
        <v>12/31/2016</v>
      </c>
      <c r="E8" s="933" t="s">
        <v>648</v>
      </c>
      <c r="F8" s="928"/>
    </row>
    <row r="9" spans="1:9" ht="12.75" customHeight="1">
      <c r="A9" s="934" t="s">
        <v>10</v>
      </c>
      <c r="C9" s="753"/>
      <c r="D9" s="753"/>
      <c r="E9" s="534"/>
      <c r="F9" s="454"/>
      <c r="G9" s="454"/>
      <c r="H9" s="454"/>
      <c r="I9" s="472"/>
    </row>
    <row r="10" spans="1:8" ht="12.75" customHeight="1">
      <c r="A10" s="748"/>
      <c r="B10" s="936"/>
      <c r="C10" s="753"/>
      <c r="D10" s="753"/>
      <c r="E10" s="534"/>
      <c r="F10" s="454"/>
      <c r="G10" s="454"/>
      <c r="H10" s="454"/>
    </row>
    <row r="11" spans="1:8" ht="12.75" customHeight="1">
      <c r="A11" s="748">
        <v>1</v>
      </c>
      <c r="B11" s="753" t="s">
        <v>20</v>
      </c>
      <c r="C11" s="1125">
        <v>678354463</v>
      </c>
      <c r="D11" s="1125">
        <v>668401429</v>
      </c>
      <c r="E11" s="937">
        <f>AVERAGE(C11:D11)</f>
        <v>673377946</v>
      </c>
      <c r="F11" s="454"/>
      <c r="G11" s="454"/>
      <c r="H11" s="454"/>
    </row>
    <row r="12" spans="1:8" ht="12.75" customHeight="1">
      <c r="A12" s="748">
        <f>+A11+1</f>
        <v>2</v>
      </c>
      <c r="B12" s="753" t="str">
        <f>"Less Preferred Stock (Ln "&amp;A84&amp;" Below)"</f>
        <v>Less Preferred Stock (Ln 54 Below)</v>
      </c>
      <c r="C12" s="753">
        <f>+C84</f>
        <v>0</v>
      </c>
      <c r="D12" s="753">
        <f>+D84</f>
        <v>0</v>
      </c>
      <c r="E12" s="937">
        <f>AVERAGE(C12:D12)</f>
        <v>0</v>
      </c>
      <c r="F12" s="454"/>
      <c r="G12" s="454"/>
      <c r="H12" s="454"/>
    </row>
    <row r="13" spans="1:8" ht="12.75" customHeight="1">
      <c r="A13" s="748">
        <f>+A12+1</f>
        <v>3</v>
      </c>
      <c r="B13" s="753" t="s">
        <v>21</v>
      </c>
      <c r="C13" s="1126">
        <v>0</v>
      </c>
      <c r="D13" s="1126">
        <v>0</v>
      </c>
      <c r="E13" s="937">
        <f>AVERAGE(C13:D13)</f>
        <v>0</v>
      </c>
      <c r="F13" s="454"/>
      <c r="G13" s="454"/>
      <c r="H13" s="454"/>
    </row>
    <row r="14" spans="1:8" ht="12.75" customHeight="1" thickBot="1">
      <c r="A14" s="748">
        <f>+A13+1</f>
        <v>4</v>
      </c>
      <c r="B14" s="753" t="s">
        <v>22</v>
      </c>
      <c r="C14" s="1127">
        <v>-1261504</v>
      </c>
      <c r="D14" s="1127">
        <v>-1354460</v>
      </c>
      <c r="E14" s="938">
        <f>AVERAGE(C14:D14)</f>
        <v>-1307982</v>
      </c>
      <c r="F14" s="454"/>
      <c r="G14" s="454"/>
      <c r="H14" s="454"/>
    </row>
    <row r="15" spans="1:8" ht="12.75" customHeight="1">
      <c r="A15" s="939">
        <f>+A14+1</f>
        <v>5</v>
      </c>
      <c r="B15" s="940" t="s">
        <v>11</v>
      </c>
      <c r="C15" s="781">
        <f>+C11-C12-C13-C14</f>
        <v>679615967</v>
      </c>
      <c r="D15" s="781">
        <f>+D11-D12-D13-D14</f>
        <v>669755889</v>
      </c>
      <c r="E15" s="941">
        <f>+E11-E12-E13-E14</f>
        <v>674685928</v>
      </c>
      <c r="F15" s="449"/>
      <c r="G15" s="449"/>
      <c r="H15" s="449"/>
    </row>
    <row r="16" spans="3:4" ht="12.75" customHeight="1">
      <c r="C16" s="942"/>
      <c r="D16" s="943"/>
    </row>
    <row r="17" spans="1:4" ht="12.75" customHeight="1">
      <c r="A17" s="934" t="s">
        <v>12</v>
      </c>
      <c r="C17" s="942"/>
      <c r="D17" s="944"/>
    </row>
    <row r="18" spans="1:4" ht="12.75" customHeight="1">
      <c r="A18" s="748"/>
      <c r="B18" s="936"/>
      <c r="C18" s="945"/>
      <c r="D18" s="944"/>
    </row>
    <row r="19" spans="1:5" ht="12.75" customHeight="1">
      <c r="A19" s="748">
        <f>+A15+1</f>
        <v>6</v>
      </c>
      <c r="B19" s="946" t="s">
        <v>23</v>
      </c>
      <c r="C19" s="1126">
        <v>0</v>
      </c>
      <c r="D19" s="1126">
        <v>0</v>
      </c>
      <c r="E19" s="937">
        <f aca="true" t="shared" si="0" ref="E19:E24">IF(C19=D19=0,0,AVERAGE(C19:D19))</f>
        <v>0</v>
      </c>
    </row>
    <row r="20" spans="1:5" ht="12.75" customHeight="1">
      <c r="A20" s="748">
        <f>+A19+1</f>
        <v>7</v>
      </c>
      <c r="B20" s="946" t="s">
        <v>24</v>
      </c>
      <c r="C20" s="1126">
        <v>0</v>
      </c>
      <c r="D20" s="1126">
        <v>0</v>
      </c>
      <c r="E20" s="937">
        <f t="shared" si="0"/>
        <v>0</v>
      </c>
    </row>
    <row r="21" spans="1:5" ht="12.75" customHeight="1">
      <c r="A21" s="748">
        <f>+A20+1</f>
        <v>8</v>
      </c>
      <c r="B21" s="947" t="s">
        <v>314</v>
      </c>
      <c r="C21" s="1126">
        <v>0</v>
      </c>
      <c r="D21" s="1126">
        <v>0</v>
      </c>
      <c r="E21" s="937">
        <f t="shared" si="0"/>
        <v>0</v>
      </c>
    </row>
    <row r="22" spans="1:10" ht="12.75" customHeight="1">
      <c r="A22" s="748">
        <f>+A21+1</f>
        <v>9</v>
      </c>
      <c r="B22" s="947" t="s">
        <v>25</v>
      </c>
      <c r="C22" s="1126">
        <v>870000000</v>
      </c>
      <c r="D22" s="1126">
        <v>870000000</v>
      </c>
      <c r="E22" s="948">
        <f t="shared" si="0"/>
        <v>870000000</v>
      </c>
      <c r="J22" s="925" t="s">
        <v>146</v>
      </c>
    </row>
    <row r="23" spans="1:12" ht="12.75" customHeight="1" thickBot="1">
      <c r="A23" s="748">
        <f>+A22+1</f>
        <v>10</v>
      </c>
      <c r="B23" s="947" t="str">
        <f>"Less: Fair Value Hedges (See Note on Ln "&amp;A26&amp;" below)"</f>
        <v>Less: Fair Value Hedges (See Note on Ln 12 below)</v>
      </c>
      <c r="C23" s="1127">
        <v>0</v>
      </c>
      <c r="D23" s="1127">
        <v>0</v>
      </c>
      <c r="E23" s="938">
        <f t="shared" si="0"/>
        <v>0</v>
      </c>
      <c r="J23" s="925" t="s">
        <v>146</v>
      </c>
      <c r="L23" s="949" t="s">
        <v>146</v>
      </c>
    </row>
    <row r="24" spans="1:5" ht="12.75" customHeight="1">
      <c r="A24" s="939">
        <f>+A23+1</f>
        <v>11</v>
      </c>
      <c r="B24" s="950" t="s">
        <v>13</v>
      </c>
      <c r="C24" s="814">
        <f>+C19-C20+C21+C22-C23</f>
        <v>870000000</v>
      </c>
      <c r="D24" s="814">
        <f>+D19-D20+D21+D22-D23</f>
        <v>870000000</v>
      </c>
      <c r="E24" s="951">
        <f t="shared" si="0"/>
        <v>870000000</v>
      </c>
    </row>
    <row r="25" spans="1:5" ht="12.75" customHeight="1">
      <c r="A25" s="939"/>
      <c r="B25" s="950"/>
      <c r="C25" s="814"/>
      <c r="D25" s="814"/>
      <c r="E25" s="951"/>
    </row>
    <row r="26" spans="1:5" ht="12.75" customHeight="1">
      <c r="A26" s="748">
        <f>+A24+1</f>
        <v>12</v>
      </c>
      <c r="B26" s="1246" t="s">
        <v>2</v>
      </c>
      <c r="C26" s="1217"/>
      <c r="D26" s="1217"/>
      <c r="E26" s="1217"/>
    </row>
    <row r="27" spans="1:5" ht="12.75" customHeight="1">
      <c r="A27" s="939"/>
      <c r="B27" s="1217"/>
      <c r="C27" s="1217"/>
      <c r="D27" s="1217"/>
      <c r="E27" s="1217"/>
    </row>
    <row r="28" spans="1:5" ht="12.75" customHeight="1">
      <c r="A28" s="748"/>
      <c r="B28" s="1217"/>
      <c r="C28" s="1217"/>
      <c r="D28" s="1217"/>
      <c r="E28" s="1217"/>
    </row>
    <row r="29" spans="1:4" ht="12.75" customHeight="1">
      <c r="A29" s="748">
        <f>+A26+1</f>
        <v>13</v>
      </c>
      <c r="B29" s="950" t="str">
        <f>"Annual Interest Expense for "&amp;'KP TCOS'!L2</f>
        <v>Annual Interest Expense for 2017</v>
      </c>
      <c r="C29" s="952"/>
      <c r="D29" s="943"/>
    </row>
    <row r="30" spans="1:5" ht="12.75" customHeight="1">
      <c r="A30" s="748">
        <f aca="true" t="shared" si="1" ref="A30:A37">+A29+1</f>
        <v>14</v>
      </c>
      <c r="B30" s="946" t="s">
        <v>26</v>
      </c>
      <c r="C30" s="952"/>
      <c r="D30" s="943"/>
      <c r="E30" s="1126">
        <v>46818148</v>
      </c>
    </row>
    <row r="31" spans="1:5" ht="26.25" customHeight="1">
      <c r="A31" s="953">
        <f t="shared" si="1"/>
        <v>15</v>
      </c>
      <c r="B31" s="1245" t="str">
        <f>"Less: Total Hedge Gain/Expense Accumulated from p 256-257, col. (i) of FERC Form 1  included in Ln "&amp;A30&amp;" and shown in Ln "&amp;A55&amp;" below."</f>
        <v>Less: Total Hedge Gain/Expense Accumulated from p 256-257, col. (i) of FERC Form 1  included in Ln 14 and shown in Ln 33 below.</v>
      </c>
      <c r="C31" s="1191"/>
      <c r="D31" s="954"/>
      <c r="E31" s="820">
        <f>+C55</f>
        <v>92956</v>
      </c>
    </row>
    <row r="32" spans="1:5" ht="12.75" customHeight="1">
      <c r="A32" s="748">
        <f t="shared" si="1"/>
        <v>16</v>
      </c>
      <c r="B32" s="947" t="str">
        <f>"Plus:  Allowed Hedge Recovery From Ln "&amp;A61&amp;"  below."</f>
        <v>Plus:  Allowed Hedge Recovery From Ln 38  below.</v>
      </c>
      <c r="C32" s="820"/>
      <c r="D32" s="954"/>
      <c r="E32" s="952">
        <f>+E61</f>
        <v>92956</v>
      </c>
    </row>
    <row r="33" spans="1:5" ht="12.75" customHeight="1">
      <c r="A33" s="748">
        <f t="shared" si="1"/>
        <v>17</v>
      </c>
      <c r="B33" s="946" t="s">
        <v>14</v>
      </c>
      <c r="C33" s="441"/>
      <c r="D33" s="441"/>
      <c r="E33" s="1126">
        <v>489273</v>
      </c>
    </row>
    <row r="34" spans="1:5" ht="12.75" customHeight="1">
      <c r="A34" s="748">
        <f t="shared" si="1"/>
        <v>18</v>
      </c>
      <c r="B34" s="946" t="s">
        <v>15</v>
      </c>
      <c r="C34" s="955"/>
      <c r="D34" s="943"/>
      <c r="E34" s="1126">
        <v>33480</v>
      </c>
    </row>
    <row r="35" spans="1:5" ht="12.75" customHeight="1">
      <c r="A35" s="748">
        <f t="shared" si="1"/>
        <v>19</v>
      </c>
      <c r="B35" s="946" t="s">
        <v>16</v>
      </c>
      <c r="C35" s="955"/>
      <c r="D35" s="943"/>
      <c r="E35" s="1126">
        <v>0</v>
      </c>
    </row>
    <row r="36" spans="1:5" ht="12.75" customHeight="1" thickBot="1">
      <c r="A36" s="748">
        <f t="shared" si="1"/>
        <v>20</v>
      </c>
      <c r="B36" s="946" t="s">
        <v>17</v>
      </c>
      <c r="C36" s="955"/>
      <c r="D36" s="943"/>
      <c r="E36" s="1127">
        <v>0</v>
      </c>
    </row>
    <row r="37" spans="1:5" ht="12.75" customHeight="1">
      <c r="A37" s="939">
        <f t="shared" si="1"/>
        <v>21</v>
      </c>
      <c r="B37" s="950" t="str">
        <f>"Total Interest Expense (Ln "&amp;A30&amp;" + Ln "&amp;A33&amp;" + Ln "&amp;A34&amp;" - Ln "&amp;A35&amp;" - Ln "&amp;A36&amp;")"</f>
        <v>Total Interest Expense (Ln 14 + Ln 17 + Ln 18 - Ln 19 - Ln 20)</v>
      </c>
      <c r="C37" s="956"/>
      <c r="D37" s="936"/>
      <c r="E37" s="957">
        <f>+E30-E31+E32+E33+E34-E35-E36</f>
        <v>47340901</v>
      </c>
    </row>
    <row r="38" spans="1:5" ht="12.75" customHeight="1" thickBot="1">
      <c r="A38" s="748"/>
      <c r="B38" s="946"/>
      <c r="C38" s="955"/>
      <c r="D38" s="943"/>
      <c r="E38" s="958"/>
    </row>
    <row r="39" spans="1:5" ht="12.75" customHeight="1" thickBot="1">
      <c r="A39" s="939">
        <f>+A37+1</f>
        <v>22</v>
      </c>
      <c r="B39" s="950" t="str">
        <f>"Average Cost of Debt for "&amp;'KP TCOS'!L2&amp;" (Ln 21/Ln 11)"</f>
        <v>Average Cost of Debt for 2017 (Ln 21/Ln 11)</v>
      </c>
      <c r="C39" s="956"/>
      <c r="D39" s="943"/>
      <c r="E39" s="959">
        <f>+E37/E24</f>
        <v>0.054414828735632186</v>
      </c>
    </row>
    <row r="40" spans="1:5" ht="12.75" customHeight="1">
      <c r="A40" s="960"/>
      <c r="B40" s="946"/>
      <c r="C40" s="955"/>
      <c r="D40" s="943"/>
      <c r="E40" s="955"/>
    </row>
    <row r="41" spans="1:6" ht="28.5" customHeight="1">
      <c r="A41" s="961"/>
      <c r="B41" s="1241" t="s">
        <v>0</v>
      </c>
      <c r="C41" s="1241"/>
      <c r="D41" s="1241"/>
      <c r="E41" s="1241"/>
      <c r="F41" s="962"/>
    </row>
    <row r="42" spans="1:6" ht="107.25" customHeight="1">
      <c r="A42" s="963">
        <f>+A39+1</f>
        <v>23</v>
      </c>
      <c r="B42" s="1244" t="s">
        <v>389</v>
      </c>
      <c r="C42" s="1217"/>
      <c r="D42" s="1217"/>
      <c r="E42" s="1217"/>
      <c r="F42" s="734"/>
    </row>
    <row r="43" spans="1:8" ht="12" customHeight="1">
      <c r="A43" s="961"/>
      <c r="B43" s="964"/>
      <c r="C43" s="964"/>
      <c r="D43" s="964"/>
      <c r="E43" s="964"/>
      <c r="G43" s="1240" t="s">
        <v>307</v>
      </c>
      <c r="H43" s="1240"/>
    </row>
    <row r="44" spans="1:8" ht="52.5" customHeight="1">
      <c r="A44" s="748"/>
      <c r="B44" s="966" t="s">
        <v>454</v>
      </c>
      <c r="C44" s="965" t="str">
        <f>"Total Hedge (Gain)/Loss for "&amp;'KP TCOS'!L2</f>
        <v>Total Hedge (Gain)/Loss for 2017</v>
      </c>
      <c r="D44" s="965" t="str">
        <f>"Less Excludable Amounts (See NOTE on Line "&amp;A42&amp;")"</f>
        <v>Less Excludable Amounts (See NOTE on Line 23)</v>
      </c>
      <c r="E44" s="965" t="s">
        <v>1</v>
      </c>
      <c r="F44" s="965" t="s">
        <v>306</v>
      </c>
      <c r="G44" s="965" t="s">
        <v>360</v>
      </c>
      <c r="H44" s="965" t="s">
        <v>362</v>
      </c>
    </row>
    <row r="45" spans="1:10" ht="12.75" customHeight="1">
      <c r="A45" s="748">
        <f>+A42+1</f>
        <v>24</v>
      </c>
      <c r="B45" s="1128" t="s">
        <v>842</v>
      </c>
      <c r="C45" s="1129">
        <v>92956</v>
      </c>
      <c r="D45" s="1125">
        <v>0</v>
      </c>
      <c r="E45" s="967">
        <f>+C45-D45</f>
        <v>92956</v>
      </c>
      <c r="F45" s="1129">
        <v>154928</v>
      </c>
      <c r="G45" s="1136" t="s">
        <v>843</v>
      </c>
      <c r="H45" s="1136" t="s">
        <v>844</v>
      </c>
      <c r="I45" s="441"/>
      <c r="J45" s="441"/>
    </row>
    <row r="46" spans="1:8" ht="12.75" customHeight="1">
      <c r="A46" s="748">
        <f aca="true" t="shared" si="2" ref="A46:A53">+A45+1</f>
        <v>25</v>
      </c>
      <c r="B46" s="1128" t="s">
        <v>845</v>
      </c>
      <c r="C46" s="1130" t="s">
        <v>146</v>
      </c>
      <c r="D46" s="1131"/>
      <c r="E46" s="967" t="s">
        <v>146</v>
      </c>
      <c r="F46" s="1134" t="s">
        <v>146</v>
      </c>
      <c r="G46" s="1137" t="s">
        <v>146</v>
      </c>
      <c r="H46" s="1137" t="s">
        <v>146</v>
      </c>
    </row>
    <row r="47" spans="1:8" ht="12.75" customHeight="1">
      <c r="A47" s="748">
        <f t="shared" si="2"/>
        <v>26</v>
      </c>
      <c r="B47" s="1128" t="s">
        <v>845</v>
      </c>
      <c r="C47" s="1130" t="s">
        <v>146</v>
      </c>
      <c r="D47" s="1132"/>
      <c r="E47" s="967" t="s">
        <v>146</v>
      </c>
      <c r="F47" s="1134" t="s">
        <v>146</v>
      </c>
      <c r="G47" s="1137" t="s">
        <v>146</v>
      </c>
      <c r="H47" s="1137" t="s">
        <v>146</v>
      </c>
    </row>
    <row r="48" spans="1:8" ht="12.75" customHeight="1">
      <c r="A48" s="748">
        <f t="shared" si="2"/>
        <v>27</v>
      </c>
      <c r="B48" s="1128" t="s">
        <v>845</v>
      </c>
      <c r="C48" s="1130" t="s">
        <v>146</v>
      </c>
      <c r="D48" s="1132"/>
      <c r="E48" s="967" t="s">
        <v>146</v>
      </c>
      <c r="F48" s="1134" t="s">
        <v>146</v>
      </c>
      <c r="G48" s="1137" t="s">
        <v>146</v>
      </c>
      <c r="H48" s="1137" t="s">
        <v>146</v>
      </c>
    </row>
    <row r="49" spans="1:8" ht="12.75" customHeight="1">
      <c r="A49" s="748">
        <f t="shared" si="2"/>
        <v>28</v>
      </c>
      <c r="B49" s="1128" t="s">
        <v>845</v>
      </c>
      <c r="C49" s="1130" t="s">
        <v>146</v>
      </c>
      <c r="D49" s="1131"/>
      <c r="E49" s="967" t="s">
        <v>146</v>
      </c>
      <c r="F49" s="1134" t="s">
        <v>146</v>
      </c>
      <c r="G49" s="1137" t="s">
        <v>146</v>
      </c>
      <c r="H49" s="1137" t="s">
        <v>146</v>
      </c>
    </row>
    <row r="50" spans="1:8" ht="12.75" customHeight="1">
      <c r="A50" s="748">
        <f t="shared" si="2"/>
        <v>29</v>
      </c>
      <c r="B50" s="1128" t="s">
        <v>845</v>
      </c>
      <c r="C50" s="1130" t="s">
        <v>146</v>
      </c>
      <c r="D50" s="1131"/>
      <c r="E50" s="967" t="s">
        <v>146</v>
      </c>
      <c r="F50" s="1134" t="s">
        <v>146</v>
      </c>
      <c r="G50" s="1137" t="s">
        <v>146</v>
      </c>
      <c r="H50" s="1137" t="s">
        <v>146</v>
      </c>
    </row>
    <row r="51" spans="1:8" ht="12.75" customHeight="1">
      <c r="A51" s="748">
        <f t="shared" si="2"/>
        <v>30</v>
      </c>
      <c r="B51" s="1128" t="s">
        <v>845</v>
      </c>
      <c r="C51" s="1130" t="s">
        <v>146</v>
      </c>
      <c r="D51" s="1131"/>
      <c r="E51" s="967" t="s">
        <v>146</v>
      </c>
      <c r="F51" s="1134" t="s">
        <v>146</v>
      </c>
      <c r="G51" s="1137" t="s">
        <v>146</v>
      </c>
      <c r="H51" s="1137" t="s">
        <v>146</v>
      </c>
    </row>
    <row r="52" spans="1:8" ht="12.75" customHeight="1">
      <c r="A52" s="748">
        <f t="shared" si="2"/>
        <v>31</v>
      </c>
      <c r="B52" s="1128" t="s">
        <v>845</v>
      </c>
      <c r="C52" s="1130" t="s">
        <v>146</v>
      </c>
      <c r="D52" s="1133"/>
      <c r="E52" s="967" t="s">
        <v>146</v>
      </c>
      <c r="F52" s="1134" t="s">
        <v>146</v>
      </c>
      <c r="G52" s="1137" t="s">
        <v>146</v>
      </c>
      <c r="H52" s="1137" t="s">
        <v>146</v>
      </c>
    </row>
    <row r="53" spans="1:8" ht="12.75" customHeight="1">
      <c r="A53" s="748">
        <f t="shared" si="2"/>
        <v>32</v>
      </c>
      <c r="B53" s="1128" t="s">
        <v>845</v>
      </c>
      <c r="C53" s="1134"/>
      <c r="D53" s="1135"/>
      <c r="E53" s="967">
        <f>+C53-D53</f>
        <v>0</v>
      </c>
      <c r="F53" s="1138"/>
      <c r="G53" s="1138"/>
      <c r="H53" s="1138"/>
    </row>
    <row r="54" spans="1:6" ht="12.75" customHeight="1">
      <c r="A54" s="748"/>
      <c r="B54" s="670"/>
      <c r="C54" s="968"/>
      <c r="D54" s="968"/>
      <c r="E54" s="969"/>
      <c r="F54" s="967">
        <f>SUM(F45:F53)</f>
        <v>154928</v>
      </c>
    </row>
    <row r="55" spans="1:5" ht="12.75" customHeight="1">
      <c r="A55" s="748">
        <f>+A53+1</f>
        <v>33</v>
      </c>
      <c r="B55" s="970" t="s">
        <v>18</v>
      </c>
      <c r="C55" s="971">
        <f>SUM(C45:C53)</f>
        <v>92956</v>
      </c>
      <c r="D55" s="971">
        <f>SUM(D45:D53)</f>
        <v>0</v>
      </c>
      <c r="E55" s="925"/>
    </row>
    <row r="56" spans="1:5" ht="21" customHeight="1">
      <c r="A56" s="748"/>
      <c r="B56" s="970"/>
      <c r="C56" s="971"/>
      <c r="D56" s="971"/>
      <c r="E56" s="971"/>
    </row>
    <row r="57" spans="1:5" ht="14.25" customHeight="1">
      <c r="A57" s="748">
        <f>+A55+1</f>
        <v>34</v>
      </c>
      <c r="B57" s="970" t="str">
        <f>"Hedge Gain or Loss Prior to Application of Recovery Limit (Sum of Lines "&amp;A45&amp;" to "&amp;A53&amp;")"</f>
        <v>Hedge Gain or Loss Prior to Application of Recovery Limit (Sum of Lines 24 to 32)</v>
      </c>
      <c r="C57" s="971"/>
      <c r="D57" s="971"/>
      <c r="E57" s="971">
        <f>SUM(E45:E53)</f>
        <v>92956</v>
      </c>
    </row>
    <row r="58" spans="1:8" ht="12.75" customHeight="1">
      <c r="A58" s="748">
        <f>+A57+1</f>
        <v>35</v>
      </c>
      <c r="B58" s="972" t="str">
        <f>"Total Average Capital Structure Balance for "&amp;'KP TCOS'!L2&amp;" (TCOS, Ln "&amp;'KP TCOS'!B268&amp;")"</f>
        <v>Total Average Capital Structure Balance for 2017 (TCOS, Ln 170)</v>
      </c>
      <c r="C58" s="973"/>
      <c r="D58" s="974"/>
      <c r="E58" s="975">
        <f>'KP TCOS'!G268</f>
        <v>1544685928</v>
      </c>
      <c r="H58" s="976"/>
    </row>
    <row r="59" spans="1:7" ht="12.75" customHeight="1">
      <c r="A59" s="748">
        <f>+A58+1</f>
        <v>36</v>
      </c>
      <c r="B59" s="970" t="s">
        <v>629</v>
      </c>
      <c r="C59" s="973"/>
      <c r="D59" s="974"/>
      <c r="E59" s="977">
        <v>0.0005</v>
      </c>
      <c r="G59" s="978"/>
    </row>
    <row r="60" spans="1:5" ht="12.75" customHeight="1" thickBot="1">
      <c r="A60" s="748">
        <f>+A59+1</f>
        <v>37</v>
      </c>
      <c r="B60" s="970" t="s">
        <v>630</v>
      </c>
      <c r="C60" s="973"/>
      <c r="D60" s="974"/>
      <c r="E60" s="979">
        <f>+E58*E59</f>
        <v>772342.964</v>
      </c>
    </row>
    <row r="61" spans="1:5" ht="12.75" customHeight="1" thickBot="1">
      <c r="A61" s="748">
        <f>+A60+1</f>
        <v>38</v>
      </c>
      <c r="B61" s="980" t="str">
        <f>"Recoverable Hedge Amortization (Lesser of Ln "&amp;A57&amp;" or Ln "&amp;A60&amp;")"</f>
        <v>Recoverable Hedge Amortization (Lesser of Ln 34 or Ln 37)</v>
      </c>
      <c r="C61" s="981"/>
      <c r="D61" s="982"/>
      <c r="E61" s="983">
        <f>+IF(E60&lt;E57,E60,E57)</f>
        <v>92956</v>
      </c>
    </row>
    <row r="62" spans="1:5" ht="12.75" customHeight="1">
      <c r="A62" s="748"/>
      <c r="B62" s="984"/>
      <c r="C62" s="981"/>
      <c r="D62" s="982"/>
      <c r="E62" s="981"/>
    </row>
    <row r="63" spans="1:5" ht="12.75" customHeight="1">
      <c r="A63" s="985" t="s">
        <v>19</v>
      </c>
      <c r="C63" s="955"/>
      <c r="D63" s="943"/>
      <c r="E63" s="955"/>
    </row>
    <row r="64" spans="1:5" ht="12.75" customHeight="1">
      <c r="A64" s="748"/>
      <c r="B64" s="946"/>
      <c r="C64" s="955"/>
      <c r="D64" s="943"/>
      <c r="E64" s="955"/>
    </row>
    <row r="65" spans="1:5" ht="12.75" customHeight="1">
      <c r="A65" s="748"/>
      <c r="B65" s="986" t="s">
        <v>334</v>
      </c>
      <c r="C65" s="987"/>
      <c r="D65" s="944"/>
      <c r="E65" s="987" t="s">
        <v>648</v>
      </c>
    </row>
    <row r="66" spans="1:5" ht="12.75" customHeight="1">
      <c r="A66" s="748">
        <f>+A61+1</f>
        <v>39</v>
      </c>
      <c r="B66" s="943" t="str">
        <f>""&amp;C$66*100&amp;"% Series - "&amp;C$67&amp;" - Dividend Rate (p. 250-251. 9.a)"</f>
        <v>4.125% Series - 100 - Dividend Rate (p. 250-251. 9.a)</v>
      </c>
      <c r="C66" s="1139">
        <v>0.04125</v>
      </c>
      <c r="D66" s="1139">
        <v>0.04125</v>
      </c>
      <c r="E66" s="987"/>
    </row>
    <row r="67" spans="1:5" ht="12.75" customHeight="1">
      <c r="A67" s="748">
        <f>+A66+1</f>
        <v>40</v>
      </c>
      <c r="B67" s="943" t="str">
        <f>""&amp;C$66*100&amp;"% Series - "&amp;C$67&amp;" - Par Value (p. 250-251. 9.c)"</f>
        <v>4.125% Series - 100 - Par Value (p. 250-251. 9.c)</v>
      </c>
      <c r="C67" s="1140">
        <v>100</v>
      </c>
      <c r="D67" s="1140">
        <v>100</v>
      </c>
      <c r="E67" s="987"/>
    </row>
    <row r="68" spans="1:5" ht="12.75" customHeight="1">
      <c r="A68" s="748">
        <f>+A67+1</f>
        <v>41</v>
      </c>
      <c r="B68" s="943" t="str">
        <f>""&amp;C$66*100&amp;"% Series - "&amp;C$67&amp;" - Shares O/S (p.250-251. 9.e) "</f>
        <v>4.125% Series - 100 - Shares O/S (p.250-251. 9.e) </v>
      </c>
      <c r="C68" s="1135">
        <v>0</v>
      </c>
      <c r="D68" s="1135">
        <v>0</v>
      </c>
      <c r="E68" s="988"/>
    </row>
    <row r="69" spans="1:5" ht="12.75" customHeight="1">
      <c r="A69" s="748">
        <f>+A68+1</f>
        <v>42</v>
      </c>
      <c r="B69" s="943" t="str">
        <f>""&amp;C$66*100&amp;"% Series - "&amp;C$67&amp;" - Monetary Value (Ln "&amp;A67&amp;" * Ln "&amp;A68&amp;")"</f>
        <v>4.125% Series - 100 - Monetary Value (Ln 40 * Ln 41)</v>
      </c>
      <c r="C69" s="989">
        <f>+C68*C67</f>
        <v>0</v>
      </c>
      <c r="D69" s="989">
        <f>+D68*D67</f>
        <v>0</v>
      </c>
      <c r="E69" s="937">
        <f>IF(C69=D69=0,0,AVERAGE(C69:D69))</f>
        <v>0</v>
      </c>
    </row>
    <row r="70" spans="1:5" ht="12.75" customHeight="1">
      <c r="A70" s="748">
        <f>+A69+1</f>
        <v>43</v>
      </c>
      <c r="B70" s="943" t="str">
        <f>""&amp;C$66*100&amp;"% Series - "&amp;C$67&amp;" -  Dividend Amount (Ln "&amp;A66&amp;" * Ln "&amp;A69&amp;")"</f>
        <v>4.125% Series - 100 -  Dividend Amount (Ln 39 * Ln 42)</v>
      </c>
      <c r="C70" s="989">
        <f>+C69*C66</f>
        <v>0</v>
      </c>
      <c r="D70" s="989">
        <f>+D69*D66</f>
        <v>0</v>
      </c>
      <c r="E70" s="937">
        <f>IF(C70=D70=0,0,AVERAGE(C70:D70))</f>
        <v>0</v>
      </c>
    </row>
    <row r="71" spans="1:5" ht="12.75" customHeight="1">
      <c r="A71" s="748"/>
      <c r="B71" s="943"/>
      <c r="C71" s="989"/>
      <c r="D71" s="978"/>
      <c r="E71" s="990"/>
    </row>
    <row r="72" spans="1:5" ht="12.75" customHeight="1">
      <c r="A72" s="748">
        <f>+A70+1</f>
        <v>44</v>
      </c>
      <c r="B72" s="943" t="str">
        <f>""&amp;C$72*100&amp;"% Series - "&amp;C$73&amp;" - Dividend Rate (p. 250-251 11.a)"</f>
        <v>4.12% Series - 100 - Dividend Rate (p. 250-251 11.a)</v>
      </c>
      <c r="C72" s="1139">
        <v>0.0412</v>
      </c>
      <c r="D72" s="1139">
        <v>0.0412</v>
      </c>
      <c r="E72" s="990"/>
    </row>
    <row r="73" spans="1:5" ht="12.75" customHeight="1">
      <c r="A73" s="748">
        <f>+A72+1</f>
        <v>45</v>
      </c>
      <c r="B73" s="943" t="str">
        <f>""&amp;C$72*100&amp;"% Series - "&amp;C$73&amp;" - Par Value (p. 250-251 11.c)"</f>
        <v>4.12% Series - 100 - Par Value (p. 250-251 11.c)</v>
      </c>
      <c r="C73" s="1140">
        <v>100</v>
      </c>
      <c r="D73" s="1140">
        <v>100</v>
      </c>
      <c r="E73" s="990"/>
    </row>
    <row r="74" spans="1:5" ht="12.75" customHeight="1">
      <c r="A74" s="748">
        <f>+A73+1</f>
        <v>46</v>
      </c>
      <c r="B74" s="943" t="str">
        <f>""&amp;C$72*100&amp;"% Series - "&amp;C$73&amp;" - Shares O/S (p.250-251 11.e) "</f>
        <v>4.12% Series - 100 - Shares O/S (p.250-251 11.e) </v>
      </c>
      <c r="C74" s="1135">
        <v>0</v>
      </c>
      <c r="D74" s="1135">
        <v>0</v>
      </c>
      <c r="E74" s="990"/>
    </row>
    <row r="75" spans="1:5" ht="12.75" customHeight="1">
      <c r="A75" s="748">
        <f>+A74+1</f>
        <v>47</v>
      </c>
      <c r="B75" s="943" t="str">
        <f>""&amp;C$72*100&amp;"% Series - "&amp;C$73&amp;" - Monetary Value (Ln "&amp;A73&amp;" * Ln "&amp;A74&amp;")"</f>
        <v>4.12% Series - 100 - Monetary Value (Ln 45 * Ln 46)</v>
      </c>
      <c r="C75" s="820">
        <f>+C74*C73</f>
        <v>0</v>
      </c>
      <c r="D75" s="820">
        <f>+D74*D73</f>
        <v>0</v>
      </c>
      <c r="E75" s="937">
        <f>IF(C75=D75=0,0,AVERAGE(C75:D75))</f>
        <v>0</v>
      </c>
    </row>
    <row r="76" spans="1:5" ht="12.75" customHeight="1">
      <c r="A76" s="748">
        <f>+A75+1</f>
        <v>48</v>
      </c>
      <c r="B76" s="943" t="str">
        <f>""&amp;C$72*100&amp;"% Series - "&amp;C$73&amp;" -  Dividend Amount (Ln "&amp;A72&amp;" * Ln "&amp;A75&amp;")"</f>
        <v>4.12% Series - 100 -  Dividend Amount (Ln 44 * Ln 47)</v>
      </c>
      <c r="C76" s="820">
        <f>+C75*C72</f>
        <v>0</v>
      </c>
      <c r="D76" s="820">
        <f>+D75*D72</f>
        <v>0</v>
      </c>
      <c r="E76" s="937">
        <f>IF(C76=D76=0,0,AVERAGE(C76:D76))</f>
        <v>0</v>
      </c>
    </row>
    <row r="77" spans="1:5" ht="12.75" customHeight="1">
      <c r="A77" s="748"/>
      <c r="B77" s="943"/>
      <c r="C77" s="820"/>
      <c r="D77" s="820"/>
      <c r="E77" s="937"/>
    </row>
    <row r="78" spans="1:5" ht="12.75" customHeight="1">
      <c r="A78" s="748">
        <f>+A76+1</f>
        <v>49</v>
      </c>
      <c r="B78" s="943" t="str">
        <f>""&amp;C$78*100&amp;"% Series - "&amp;C$79&amp;" - Dividend Rate (p. 250-251. 10a)"</f>
        <v>4.56% Series - 100 - Dividend Rate (p. 250-251. 10a)</v>
      </c>
      <c r="C78" s="1139">
        <v>0.0456</v>
      </c>
      <c r="D78" s="1139">
        <v>0.0456</v>
      </c>
      <c r="E78" s="937"/>
    </row>
    <row r="79" spans="1:5" ht="12.75" customHeight="1">
      <c r="A79" s="748">
        <f>+A78+1</f>
        <v>50</v>
      </c>
      <c r="B79" s="943" t="str">
        <f>""&amp;C$78*100&amp;"% Series - "&amp;C$79&amp;" - Par Value (p. 250-251. 10c)"</f>
        <v>4.56% Series - 100 - Par Value (p. 250-251. 10c)</v>
      </c>
      <c r="C79" s="1140">
        <v>100</v>
      </c>
      <c r="D79" s="1140">
        <v>100</v>
      </c>
      <c r="E79" s="937"/>
    </row>
    <row r="80" spans="1:5" ht="12.75" customHeight="1">
      <c r="A80" s="748">
        <f>+A79+1</f>
        <v>51</v>
      </c>
      <c r="B80" s="943" t="str">
        <f>""&amp;C$78*100&amp;"% Series - "&amp;C$79&amp;" - Shares O/S (p.250-251 10.e) "</f>
        <v>4.56% Series - 100 - Shares O/S (p.250-251 10.e) </v>
      </c>
      <c r="C80" s="1135">
        <v>0</v>
      </c>
      <c r="D80" s="1135">
        <v>0</v>
      </c>
      <c r="E80" s="990"/>
    </row>
    <row r="81" spans="1:5" ht="12.75" customHeight="1">
      <c r="A81" s="748">
        <f>+A80+1</f>
        <v>52</v>
      </c>
      <c r="B81" s="943" t="str">
        <f>""&amp;C$78*100&amp;"% Series - "&amp;C$79&amp;" - Monetary Value (Ln "&amp;A79&amp;" * Ln "&amp;A80&amp;")"</f>
        <v>4.56% Series - 100 - Monetary Value (Ln 50 * Ln 51)</v>
      </c>
      <c r="C81" s="820">
        <f>+C80*C79</f>
        <v>0</v>
      </c>
      <c r="D81" s="820">
        <f>+D80*D79</f>
        <v>0</v>
      </c>
      <c r="E81" s="937">
        <f>IF(C81=D81=0,0,AVERAGE(C81:D81))</f>
        <v>0</v>
      </c>
    </row>
    <row r="82" spans="1:5" ht="12.75" customHeight="1">
      <c r="A82" s="748">
        <f>+A81+1</f>
        <v>53</v>
      </c>
      <c r="B82" s="943" t="str">
        <f>""&amp;C$78*100&amp;"% Series - "&amp;C$79&amp;" -  Dividend Amount (Ln "&amp;A78&amp;" * Ln "&amp;A81&amp;")"</f>
        <v>4.56% Series - 100 -  Dividend Amount (Ln 49 * Ln 52)</v>
      </c>
      <c r="C82" s="820">
        <f>+C81*C78</f>
        <v>0</v>
      </c>
      <c r="D82" s="820">
        <f>+D81*D78</f>
        <v>0</v>
      </c>
      <c r="E82" s="937">
        <f>IF(C82=D82=0,0,AVERAGE(C82:D82))</f>
        <v>0</v>
      </c>
    </row>
    <row r="83" spans="1:4" ht="12.75" customHeight="1">
      <c r="A83" s="748"/>
      <c r="B83" s="943"/>
      <c r="C83" s="820"/>
      <c r="D83" s="820"/>
    </row>
    <row r="84" spans="1:6" ht="12.75" customHeight="1">
      <c r="A84" s="748">
        <f>+A82+1</f>
        <v>54</v>
      </c>
      <c r="B84" s="936" t="str">
        <f>"Balance of Preferred Stock (Lns "&amp;A69&amp;", "&amp;A75&amp;", "&amp;A81&amp;")"</f>
        <v>Balance of Preferred Stock (Lns 42, 47, 52)</v>
      </c>
      <c r="C84" s="820">
        <f>+C69+C75+C81</f>
        <v>0</v>
      </c>
      <c r="D84" s="820">
        <f>+D69+D75+D81</f>
        <v>0</v>
      </c>
      <c r="E84" s="991">
        <f>+E69+E75+E81</f>
        <v>0</v>
      </c>
      <c r="F84" s="954" t="s">
        <v>390</v>
      </c>
    </row>
    <row r="85" spans="1:5" ht="12.75" customHeight="1" thickBot="1">
      <c r="A85" s="748">
        <f>+A84+1</f>
        <v>55</v>
      </c>
      <c r="B85" s="936" t="str">
        <f>"Dividends on Preferred Stock (Lns "&amp;A70&amp;", "&amp;A76&amp;", "&amp;A82&amp;")"</f>
        <v>Dividends on Preferred Stock (Lns 43, 48, 53)</v>
      </c>
      <c r="C85" s="992">
        <f>+C76+C70+C82</f>
        <v>0</v>
      </c>
      <c r="D85" s="992">
        <f>+D76+D70+D82</f>
        <v>0</v>
      </c>
      <c r="E85" s="993">
        <f>+E82+E76+E70</f>
        <v>0</v>
      </c>
    </row>
    <row r="86" spans="1:5" ht="12.75" customHeight="1" thickBot="1">
      <c r="A86" s="748">
        <f>+A85+1</f>
        <v>56</v>
      </c>
      <c r="B86" s="994" t="str">
        <f>"Average Cost of Preferred Stock (Ln "&amp;A85&amp;"/"&amp;A84&amp;")"</f>
        <v>Average Cost of Preferred Stock (Ln 55/54)</v>
      </c>
      <c r="C86" s="995">
        <f>IF(C84=0,0,C85/C84)</f>
        <v>0</v>
      </c>
      <c r="D86" s="995">
        <f>IF(D84=0,0,D85/D84)</f>
        <v>0</v>
      </c>
      <c r="E86" s="959">
        <f>IF(E84=0,0,+E85/E84)</f>
        <v>0</v>
      </c>
    </row>
    <row r="87" spans="1:5" ht="12.75" customHeight="1">
      <c r="A87" s="748"/>
      <c r="B87" s="994"/>
      <c r="C87" s="995"/>
      <c r="D87" s="995"/>
      <c r="E87" s="956"/>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100" zoomScalePageLayoutView="0" workbookViewId="0" topLeftCell="A1">
      <selection activeCell="D29" sqref="D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27" t="s">
        <v>491</v>
      </c>
      <c r="B1" s="1227"/>
      <c r="C1" s="1227"/>
      <c r="D1" s="1227"/>
      <c r="E1" s="1227"/>
      <c r="F1" s="1227"/>
      <c r="G1" s="1227"/>
      <c r="H1" s="1227"/>
      <c r="I1" s="1227"/>
      <c r="J1" s="1227"/>
      <c r="K1" s="1227"/>
      <c r="L1" s="1227"/>
      <c r="M1" s="1227"/>
      <c r="N1" s="1227"/>
      <c r="O1" s="1227"/>
    </row>
    <row r="2" spans="1:15" ht="18">
      <c r="A2" s="1226" t="str">
        <f>"Cost of Service Formula Rate Using Actual/Projected FF1 Balances"</f>
        <v>Cost of Service Formula Rate Using Actual/Projected FF1 Balances</v>
      </c>
      <c r="B2" s="1226"/>
      <c r="C2" s="1226"/>
      <c r="D2" s="1226"/>
      <c r="E2" s="1226"/>
      <c r="F2" s="1226"/>
      <c r="G2" s="1226"/>
      <c r="H2" s="1226"/>
      <c r="I2" s="1226"/>
      <c r="J2" s="1226"/>
      <c r="K2" s="1226"/>
      <c r="L2" s="1226"/>
      <c r="M2" s="1226"/>
      <c r="N2" s="1226"/>
      <c r="O2" s="1226"/>
    </row>
    <row r="3" spans="1:15" ht="18">
      <c r="A3" s="1226" t="s">
        <v>315</v>
      </c>
      <c r="B3" s="1226"/>
      <c r="C3" s="1226"/>
      <c r="D3" s="1226"/>
      <c r="E3" s="1226"/>
      <c r="F3" s="1226"/>
      <c r="G3" s="1226"/>
      <c r="H3" s="1226"/>
      <c r="I3" s="1226"/>
      <c r="J3" s="1226"/>
      <c r="K3" s="1226"/>
      <c r="L3" s="1226"/>
      <c r="M3" s="1226"/>
      <c r="N3" s="1226"/>
      <c r="O3" s="1226"/>
    </row>
    <row r="4" spans="1:15" ht="18">
      <c r="A4" s="1220" t="str">
        <f>+'KP TCOS'!F7</f>
        <v>KENTUCKY POWER COMPANY</v>
      </c>
      <c r="B4" s="1220"/>
      <c r="C4" s="1220"/>
      <c r="D4" s="1220"/>
      <c r="E4" s="1220"/>
      <c r="F4" s="1220"/>
      <c r="G4" s="1220"/>
      <c r="H4" s="1220"/>
      <c r="I4" s="1220"/>
      <c r="J4" s="1220"/>
      <c r="K4" s="1220"/>
      <c r="L4" s="1220"/>
      <c r="M4" s="1220"/>
      <c r="N4" s="1220"/>
      <c r="O4" s="1220"/>
    </row>
    <row r="5" spans="1:12" ht="12.75" customHeight="1">
      <c r="A5" s="196"/>
      <c r="B5" s="196"/>
      <c r="C5" s="196"/>
      <c r="D5" s="196"/>
      <c r="E5" s="196"/>
      <c r="F5" s="196"/>
      <c r="G5" s="196"/>
      <c r="H5" s="196"/>
      <c r="I5" s="196"/>
      <c r="J5" s="196"/>
      <c r="K5" s="196"/>
      <c r="L5" s="196"/>
    </row>
    <row r="6" spans="1:15" ht="12.75" customHeight="1">
      <c r="A6" s="1251" t="s">
        <v>495</v>
      </c>
      <c r="B6" s="1251"/>
      <c r="C6" s="1251"/>
      <c r="D6" s="1251"/>
      <c r="E6" s="1251"/>
      <c r="F6" s="1251"/>
      <c r="G6" s="1251"/>
      <c r="H6" s="1251"/>
      <c r="I6" s="1251"/>
      <c r="J6" s="1251"/>
      <c r="K6" s="1251"/>
      <c r="L6" s="1251"/>
      <c r="M6" s="1251"/>
      <c r="N6" s="1251"/>
      <c r="O6" s="1251"/>
    </row>
    <row r="7" spans="1:15" ht="12.75" customHeight="1">
      <c r="A7" s="1251"/>
      <c r="B7" s="1251"/>
      <c r="C7" s="1251"/>
      <c r="D7" s="1251"/>
      <c r="E7" s="1251"/>
      <c r="F7" s="1251"/>
      <c r="G7" s="1251"/>
      <c r="H7" s="1251"/>
      <c r="I7" s="1251"/>
      <c r="J7" s="1251"/>
      <c r="K7" s="1251"/>
      <c r="L7" s="1251"/>
      <c r="M7" s="1251"/>
      <c r="N7" s="1251"/>
      <c r="O7" s="1251"/>
    </row>
    <row r="8" spans="1:15" ht="12.75">
      <c r="A8" s="1251"/>
      <c r="B8" s="1251"/>
      <c r="C8" s="1251"/>
      <c r="D8" s="1251"/>
      <c r="E8" s="1251"/>
      <c r="F8" s="1251"/>
      <c r="G8" s="1251"/>
      <c r="H8" s="1251"/>
      <c r="I8" s="1251"/>
      <c r="J8" s="1251"/>
      <c r="K8" s="1251"/>
      <c r="L8" s="1251"/>
      <c r="M8" s="1251"/>
      <c r="N8" s="1251"/>
      <c r="O8" s="1251"/>
    </row>
    <row r="9" spans="1:15" ht="12.75">
      <c r="A9" s="1251"/>
      <c r="B9" s="1251"/>
      <c r="C9" s="1251"/>
      <c r="D9" s="1251"/>
      <c r="E9" s="1251"/>
      <c r="F9" s="1251"/>
      <c r="G9" s="1251"/>
      <c r="H9" s="1251"/>
      <c r="I9" s="1251"/>
      <c r="J9" s="1251"/>
      <c r="K9" s="1251"/>
      <c r="L9" s="1251"/>
      <c r="M9" s="1251"/>
      <c r="N9" s="1251"/>
      <c r="O9" s="1251"/>
    </row>
    <row r="10" spans="2:21" ht="12.75">
      <c r="B10" s="1" t="s">
        <v>194</v>
      </c>
      <c r="C10" s="1"/>
      <c r="D10" s="1250" t="s">
        <v>195</v>
      </c>
      <c r="E10" s="1250"/>
      <c r="F10" s="1250"/>
      <c r="G10" s="1250"/>
      <c r="H10" s="1"/>
      <c r="I10" s="1" t="s">
        <v>6</v>
      </c>
      <c r="J10" s="1"/>
      <c r="K10" s="1" t="s">
        <v>197</v>
      </c>
      <c r="L10" s="1"/>
      <c r="M10" s="1" t="s">
        <v>115</v>
      </c>
      <c r="N10" s="1"/>
      <c r="O10" s="1" t="s">
        <v>116</v>
      </c>
      <c r="P10" s="1"/>
      <c r="Q10" s="1" t="s">
        <v>38</v>
      </c>
      <c r="R10" s="1"/>
      <c r="S10" s="1" t="s">
        <v>122</v>
      </c>
      <c r="T10" s="1"/>
      <c r="U10" s="125" t="s">
        <v>642</v>
      </c>
    </row>
    <row r="11" spans="9:21" ht="12.75">
      <c r="I11" s="1248" t="s">
        <v>36</v>
      </c>
      <c r="Q11" s="1252" t="s">
        <v>37</v>
      </c>
      <c r="S11" s="1248" t="s">
        <v>39</v>
      </c>
      <c r="U11" s="387" t="s">
        <v>111</v>
      </c>
    </row>
    <row r="12" spans="1:21" ht="12.75">
      <c r="A12" s="204" t="s">
        <v>35</v>
      </c>
      <c r="B12" s="204" t="s">
        <v>31</v>
      </c>
      <c r="C12" s="204"/>
      <c r="D12" s="257" t="s">
        <v>32</v>
      </c>
      <c r="E12" s="204"/>
      <c r="F12" s="204"/>
      <c r="G12" s="204"/>
      <c r="H12" s="204"/>
      <c r="I12" s="1249"/>
      <c r="J12" s="204"/>
      <c r="K12" s="204" t="s">
        <v>33</v>
      </c>
      <c r="L12" s="204"/>
      <c r="M12" s="204" t="s">
        <v>34</v>
      </c>
      <c r="N12" s="204"/>
      <c r="O12" s="204" t="s">
        <v>633</v>
      </c>
      <c r="Q12" s="1252"/>
      <c r="S12" s="1248"/>
      <c r="U12" s="387" t="s">
        <v>383</v>
      </c>
    </row>
    <row r="13" spans="1:19" ht="12.75">
      <c r="A13" s="204"/>
      <c r="B13" s="204"/>
      <c r="C13" s="204"/>
      <c r="D13" s="257"/>
      <c r="E13" s="204"/>
      <c r="F13" s="204"/>
      <c r="G13" s="204"/>
      <c r="H13" s="204"/>
      <c r="I13" s="3" t="s">
        <v>631</v>
      </c>
      <c r="J13" s="204"/>
      <c r="K13" s="204"/>
      <c r="L13" s="204"/>
      <c r="M13" s="204"/>
      <c r="N13" s="204"/>
      <c r="O13" s="204"/>
      <c r="Q13" s="290"/>
      <c r="S13" s="204" t="s">
        <v>633</v>
      </c>
    </row>
    <row r="14" ht="12.75">
      <c r="I14" t="s">
        <v>632</v>
      </c>
    </row>
    <row r="15" spans="1:21" ht="12.75">
      <c r="A15" s="1">
        <v>1</v>
      </c>
      <c r="B15" s="1141"/>
      <c r="D15" s="1247"/>
      <c r="E15" s="1247"/>
      <c r="F15" s="1247"/>
      <c r="G15" s="1247"/>
      <c r="I15" s="1142"/>
      <c r="K15" s="1135"/>
      <c r="L15" s="167"/>
      <c r="M15" s="1135"/>
      <c r="O15" s="213">
        <f>+K15-M15</f>
        <v>0</v>
      </c>
      <c r="Q15" s="275">
        <f>IF(I15="G",#REF!,IF(I15="T",1,0))</f>
        <v>0</v>
      </c>
      <c r="S15" s="213">
        <f>ROUND(O15*Q15,0)</f>
        <v>0</v>
      </c>
      <c r="U15" s="1143"/>
    </row>
    <row r="16" spans="1:19" ht="12.75">
      <c r="A16" s="1"/>
      <c r="D16" s="1247"/>
      <c r="E16" s="1247"/>
      <c r="F16" s="1247"/>
      <c r="G16" s="1247"/>
      <c r="K16" s="167"/>
      <c r="L16" s="167"/>
      <c r="M16" s="167"/>
      <c r="O16" s="167"/>
      <c r="Q16" s="275"/>
      <c r="S16" s="167"/>
    </row>
    <row r="17" spans="1:19" ht="12.75">
      <c r="A17" s="1"/>
      <c r="D17" s="1247"/>
      <c r="E17" s="1247"/>
      <c r="F17" s="1247"/>
      <c r="G17" s="1247"/>
      <c r="K17" s="167"/>
      <c r="L17" s="167"/>
      <c r="M17" s="167"/>
      <c r="O17" s="167"/>
      <c r="Q17" s="275"/>
      <c r="S17" s="167"/>
    </row>
    <row r="18" spans="1:19" ht="12.75">
      <c r="A18" s="1"/>
      <c r="K18" s="167"/>
      <c r="L18" s="167"/>
      <c r="M18" s="167"/>
      <c r="O18" s="167"/>
      <c r="Q18" s="275"/>
      <c r="S18" s="167"/>
    </row>
    <row r="19" spans="1:19" ht="12.75">
      <c r="A19" s="1"/>
      <c r="K19" s="167"/>
      <c r="L19" s="167"/>
      <c r="M19" s="167"/>
      <c r="O19" s="167"/>
      <c r="Q19" s="275"/>
      <c r="S19" s="167"/>
    </row>
    <row r="20" spans="1:21" ht="12" customHeight="1">
      <c r="A20" s="1">
        <f>+A15+1</f>
        <v>2</v>
      </c>
      <c r="B20" s="1141"/>
      <c r="D20" s="1247"/>
      <c r="E20" s="1247"/>
      <c r="F20" s="1247"/>
      <c r="G20" s="1247"/>
      <c r="I20" s="1142"/>
      <c r="K20" s="1135"/>
      <c r="L20" s="167"/>
      <c r="M20" s="1135"/>
      <c r="O20" s="213">
        <f>+K20-M20</f>
        <v>0</v>
      </c>
      <c r="Q20" s="275">
        <f>IF(I20="G",#REF!,IF(I20="T",1,0))</f>
        <v>0</v>
      </c>
      <c r="S20" s="213">
        <f>ROUND(O20*Q20,0)</f>
        <v>0</v>
      </c>
      <c r="U20" s="1143"/>
    </row>
    <row r="21" spans="1:19" ht="12.75">
      <c r="A21" s="1"/>
      <c r="D21" s="1247"/>
      <c r="E21" s="1247"/>
      <c r="F21" s="1247"/>
      <c r="G21" s="1247"/>
      <c r="K21" s="167"/>
      <c r="L21" s="167"/>
      <c r="M21" s="167"/>
      <c r="O21" s="167"/>
      <c r="Q21" s="275"/>
      <c r="S21" s="167"/>
    </row>
    <row r="22" spans="1:19" ht="12.75">
      <c r="A22" s="1"/>
      <c r="D22" s="1247"/>
      <c r="E22" s="1247"/>
      <c r="F22" s="1247"/>
      <c r="G22" s="1247"/>
      <c r="K22" s="167"/>
      <c r="L22" s="167"/>
      <c r="M22" s="167"/>
      <c r="O22" s="167"/>
      <c r="Q22" s="275"/>
      <c r="S22" s="167"/>
    </row>
    <row r="23" spans="1:19" ht="12.75">
      <c r="A23" s="1"/>
      <c r="I23" s="1"/>
      <c r="K23" s="167"/>
      <c r="L23" s="167"/>
      <c r="M23" s="167"/>
      <c r="O23" s="167"/>
      <c r="Q23" s="275"/>
      <c r="S23" s="167"/>
    </row>
    <row r="24" spans="1:19" ht="12.75">
      <c r="A24" s="1"/>
      <c r="I24" s="1"/>
      <c r="K24" s="167"/>
      <c r="L24" s="167"/>
      <c r="M24" s="167"/>
      <c r="O24" s="167"/>
      <c r="Q24" s="275"/>
      <c r="S24" s="167"/>
    </row>
    <row r="25" spans="1:21" ht="12.75">
      <c r="A25" s="1">
        <f>+A20+1</f>
        <v>3</v>
      </c>
      <c r="B25" s="1141"/>
      <c r="D25" s="1247"/>
      <c r="E25" s="1247"/>
      <c r="F25" s="1247"/>
      <c r="G25" s="1247"/>
      <c r="I25" s="1142"/>
      <c r="K25" s="1135"/>
      <c r="L25" s="167"/>
      <c r="M25" s="1135"/>
      <c r="O25" s="213">
        <f>+K25-M25</f>
        <v>0</v>
      </c>
      <c r="Q25" s="275">
        <f>IF(I25="G",#REF!,IF(I25="T",1,0))</f>
        <v>0</v>
      </c>
      <c r="S25" s="213">
        <f>ROUND(O25*Q25,0)</f>
        <v>0</v>
      </c>
      <c r="U25" s="1143"/>
    </row>
    <row r="26" spans="1:19" ht="12.75">
      <c r="A26" s="1"/>
      <c r="D26" s="1247"/>
      <c r="E26" s="1247"/>
      <c r="F26" s="1247"/>
      <c r="G26" s="1247"/>
      <c r="K26" s="167"/>
      <c r="L26" s="167"/>
      <c r="M26" s="167"/>
      <c r="O26" s="167"/>
      <c r="Q26" s="275"/>
      <c r="S26" s="167"/>
    </row>
    <row r="27" spans="1:17" ht="12.75">
      <c r="A27" s="1"/>
      <c r="D27" s="1247"/>
      <c r="E27" s="1247"/>
      <c r="F27" s="1247"/>
      <c r="G27" s="1247"/>
      <c r="K27" s="167"/>
      <c r="L27" s="167"/>
      <c r="M27" s="167"/>
      <c r="O27" s="167"/>
      <c r="Q27" s="275"/>
    </row>
    <row r="28" spans="1:17" ht="12.75">
      <c r="A28" s="1"/>
      <c r="O28" s="167"/>
      <c r="Q28" s="275"/>
    </row>
    <row r="29" spans="1:17" ht="12.75">
      <c r="A29" s="1"/>
      <c r="O29" s="167"/>
      <c r="Q29" s="275"/>
    </row>
    <row r="30" spans="1:17" ht="12.75">
      <c r="A30" s="1"/>
      <c r="O30" s="167"/>
      <c r="Q30" s="275"/>
    </row>
    <row r="31" spans="1:19" ht="13.5" thickBot="1">
      <c r="A31" s="1">
        <f>+A25+1</f>
        <v>4</v>
      </c>
      <c r="K31" t="str">
        <f>"Net (Gain) or Loss for "&amp;'KP TCOS'!L2&amp;""</f>
        <v>Net (Gain) or Loss for 2017</v>
      </c>
      <c r="O31" s="288">
        <f>SUM(O15:O25)</f>
        <v>0</v>
      </c>
      <c r="Q31" s="289"/>
      <c r="S31" s="288">
        <f>SUM(S15:S25)</f>
        <v>0</v>
      </c>
    </row>
    <row r="32" spans="1:17" ht="13.5" thickTop="1">
      <c r="A32" s="1"/>
      <c r="O32" s="167"/>
      <c r="Q32" s="289"/>
    </row>
  </sheetData>
  <sheetProtection password="CA99" sheet="1" objects="1" scenarios="1"/>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tabSelected="1" view="pageBreakPreview" zoomScale="80" zoomScaleNormal="75" zoomScaleSheetLayoutView="80" zoomScalePageLayoutView="0" workbookViewId="0" topLeftCell="A10">
      <selection activeCell="E11" sqref="E11"/>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203" t="s">
        <v>491</v>
      </c>
      <c r="B1" s="1203"/>
      <c r="C1" s="1203"/>
      <c r="D1" s="1203"/>
      <c r="E1" s="1203"/>
      <c r="F1" s="1203"/>
      <c r="G1" s="1203"/>
      <c r="H1" s="1203"/>
      <c r="I1" s="1203"/>
      <c r="J1" s="1203"/>
      <c r="K1" s="1203"/>
      <c r="L1" s="5"/>
      <c r="M1" s="5"/>
      <c r="N1" s="315"/>
      <c r="O1" s="315"/>
      <c r="P1" s="315"/>
      <c r="Q1" s="315"/>
    </row>
    <row r="2" spans="1:17" ht="15">
      <c r="A2" s="1202" t="str">
        <f>"Cost of Service Formula Rate Using Actual/Projected FF1 Balances"</f>
        <v>Cost of Service Formula Rate Using Actual/Projected FF1 Balances</v>
      </c>
      <c r="B2" s="1250"/>
      <c r="C2" s="1250"/>
      <c r="D2" s="1250"/>
      <c r="E2" s="1250"/>
      <c r="F2" s="1250"/>
      <c r="G2" s="1250"/>
      <c r="H2" s="1250"/>
      <c r="I2" s="1250"/>
      <c r="J2" s="1250"/>
      <c r="K2" s="1250"/>
      <c r="L2" s="115"/>
      <c r="M2" s="356"/>
      <c r="N2" s="316"/>
      <c r="O2" s="316"/>
      <c r="P2" s="316"/>
      <c r="Q2" s="316"/>
    </row>
    <row r="3" spans="1:17" ht="15">
      <c r="A3" s="1202" t="s">
        <v>497</v>
      </c>
      <c r="B3" s="1202"/>
      <c r="C3" s="1202"/>
      <c r="D3" s="1202"/>
      <c r="E3" s="1202"/>
      <c r="F3" s="1202"/>
      <c r="G3" s="1202"/>
      <c r="H3" s="1202"/>
      <c r="I3" s="1202"/>
      <c r="J3" s="1202"/>
      <c r="K3" s="1202"/>
      <c r="L3" s="1202"/>
      <c r="M3" s="317"/>
      <c r="N3" s="317"/>
      <c r="O3" s="317"/>
      <c r="P3" s="317"/>
      <c r="Q3" s="317"/>
    </row>
    <row r="4" spans="1:17" ht="15">
      <c r="A4" s="1206" t="s">
        <v>781</v>
      </c>
      <c r="B4" s="1206"/>
      <c r="C4" s="1206"/>
      <c r="D4" s="1206"/>
      <c r="E4" s="1206"/>
      <c r="F4" s="1206"/>
      <c r="G4" s="1206"/>
      <c r="H4" s="1206"/>
      <c r="I4" s="1206"/>
      <c r="J4" s="1206"/>
      <c r="K4" s="1206"/>
      <c r="L4" s="357"/>
      <c r="M4" s="357"/>
      <c r="N4" s="318"/>
      <c r="O4" s="318"/>
      <c r="P4" s="318"/>
      <c r="Q4" s="318"/>
    </row>
    <row r="7" spans="2:17" ht="12.75">
      <c r="B7" s="1254"/>
      <c r="C7" s="1254"/>
      <c r="D7" s="1254"/>
      <c r="E7" s="1254"/>
      <c r="F7" s="1254"/>
      <c r="G7" s="1254"/>
      <c r="H7" s="1254"/>
      <c r="I7" s="1254"/>
      <c r="J7" s="1254"/>
      <c r="K7" s="1254"/>
      <c r="L7" s="1254"/>
      <c r="M7" s="1254"/>
      <c r="N7" s="305"/>
      <c r="O7" s="305"/>
      <c r="P7" s="305"/>
      <c r="Q7" s="305"/>
    </row>
    <row r="8" spans="9:17" ht="12.75">
      <c r="I8" s="305"/>
      <c r="J8" s="305"/>
      <c r="K8" s="305"/>
      <c r="L8" s="305"/>
      <c r="M8" s="305"/>
      <c r="N8" s="305"/>
      <c r="O8" s="305"/>
      <c r="P8" s="305"/>
      <c r="Q8" s="305"/>
    </row>
    <row r="9" spans="9:17" ht="12.75">
      <c r="I9" s="305"/>
      <c r="J9" s="305"/>
      <c r="K9" s="305"/>
      <c r="L9" s="305"/>
      <c r="M9" s="305"/>
      <c r="N9" s="305"/>
      <c r="O9" s="305"/>
      <c r="P9" s="305"/>
      <c r="Q9" s="305"/>
    </row>
    <row r="10" spans="1:17" ht="12.75">
      <c r="A10">
        <v>1</v>
      </c>
      <c r="B10" t="s">
        <v>539</v>
      </c>
      <c r="E10" s="1135">
        <v>0</v>
      </c>
      <c r="I10" s="305"/>
      <c r="J10" s="305"/>
      <c r="K10" s="305"/>
      <c r="L10" s="305"/>
      <c r="M10" s="305"/>
      <c r="N10" s="305"/>
      <c r="O10" s="305"/>
      <c r="P10" s="305"/>
      <c r="Q10" s="305"/>
    </row>
    <row r="11" spans="9:17" ht="12.75">
      <c r="I11" s="305"/>
      <c r="J11" s="305"/>
      <c r="K11" s="305"/>
      <c r="L11" s="305"/>
      <c r="M11" s="305"/>
      <c r="N11" s="305"/>
      <c r="O11" s="305"/>
      <c r="P11" s="305"/>
      <c r="Q11" s="305"/>
    </row>
    <row r="12" spans="2:17" ht="12.75">
      <c r="B12" s="1255" t="str">
        <f>"Allocation of PBOP Settlement Amount for "&amp;'KP TCOS'!L2&amp;""</f>
        <v>Allocation of PBOP Settlement Amount for 2017</v>
      </c>
      <c r="C12" s="1255"/>
      <c r="D12" s="199"/>
      <c r="E12" s="199"/>
      <c r="F12" s="199"/>
      <c r="G12" s="199"/>
      <c r="H12" s="199"/>
      <c r="I12" s="199"/>
      <c r="J12" s="199"/>
      <c r="K12" s="199"/>
      <c r="L12" s="199"/>
      <c r="M12" s="199"/>
      <c r="N12" s="305"/>
      <c r="O12" s="305"/>
      <c r="P12" s="305"/>
      <c r="Q12" s="305"/>
    </row>
    <row r="13" spans="3:17" ht="12.75">
      <c r="C13" s="1254" t="s">
        <v>543</v>
      </c>
      <c r="D13" s="1254"/>
      <c r="E13" s="1254"/>
      <c r="F13" s="204"/>
      <c r="N13" s="305"/>
      <c r="O13" s="305"/>
      <c r="P13" s="305"/>
      <c r="Q13" s="305"/>
    </row>
    <row r="14" spans="2:17" ht="12.75">
      <c r="B14" s="3"/>
      <c r="C14" s="1248" t="s">
        <v>604</v>
      </c>
      <c r="D14" s="1248" t="s">
        <v>544</v>
      </c>
      <c r="E14" s="1248" t="s">
        <v>545</v>
      </c>
      <c r="F14" s="198"/>
      <c r="G14" s="198"/>
      <c r="H14" s="198"/>
      <c r="I14" s="1248" t="s">
        <v>546</v>
      </c>
      <c r="N14" s="305"/>
      <c r="O14" s="305"/>
      <c r="P14" s="305"/>
      <c r="Q14" s="305"/>
    </row>
    <row r="15" spans="3:17" ht="12.75" customHeight="1">
      <c r="C15" s="1249"/>
      <c r="D15" s="1249"/>
      <c r="E15" s="1249"/>
      <c r="F15" s="1248" t="str">
        <f>"Labor Allocator for "&amp;'KP TCOS'!L2&amp;""</f>
        <v>Labor Allocator for 2017</v>
      </c>
      <c r="G15" s="122"/>
      <c r="H15" s="1256" t="s">
        <v>493</v>
      </c>
      <c r="I15" s="1248"/>
      <c r="N15" s="305"/>
      <c r="O15" s="305"/>
      <c r="P15" s="305"/>
      <c r="Q15" s="305"/>
    </row>
    <row r="16" spans="1:17" ht="12.75">
      <c r="A16" s="320" t="s">
        <v>547</v>
      </c>
      <c r="B16" s="204" t="s">
        <v>230</v>
      </c>
      <c r="C16" s="1249"/>
      <c r="D16" s="1249"/>
      <c r="E16" s="1249"/>
      <c r="F16" s="1248"/>
      <c r="G16" s="321" t="s">
        <v>496</v>
      </c>
      <c r="H16" s="1256"/>
      <c r="I16" s="1248"/>
      <c r="N16" s="305"/>
      <c r="O16" s="305"/>
      <c r="P16" s="305"/>
      <c r="Q16" s="305"/>
    </row>
    <row r="17" spans="2:17" ht="12.75">
      <c r="B17" s="204"/>
      <c r="C17" s="19"/>
      <c r="D17" s="19"/>
      <c r="E17" s="19"/>
      <c r="F17" s="198"/>
      <c r="G17" s="122"/>
      <c r="H17" s="122"/>
      <c r="I17" s="19"/>
      <c r="N17" s="305"/>
      <c r="O17" s="305"/>
      <c r="P17" s="305"/>
      <c r="Q17" s="305"/>
    </row>
    <row r="18" spans="2:17" ht="12.75">
      <c r="B18" s="204"/>
      <c r="C18" s="198" t="s">
        <v>194</v>
      </c>
      <c r="D18" s="198" t="s">
        <v>548</v>
      </c>
      <c r="E18" s="322" t="str">
        <f>"(C )=(B) * "&amp;E10&amp;""</f>
        <v>(C )=(B) * 0</v>
      </c>
      <c r="F18" s="198" t="s">
        <v>197</v>
      </c>
      <c r="G18" s="323" t="s">
        <v>549</v>
      </c>
      <c r="H18" s="323" t="s">
        <v>550</v>
      </c>
      <c r="I18" s="322" t="s">
        <v>551</v>
      </c>
      <c r="N18" s="305"/>
      <c r="O18" s="305"/>
      <c r="P18" s="305"/>
      <c r="Q18" s="305"/>
    </row>
    <row r="19" spans="2:17" ht="12.75">
      <c r="B19" s="204"/>
      <c r="C19" s="198" t="str">
        <f>"(Line "&amp;A45&amp;")"</f>
        <v>(Line 14)</v>
      </c>
      <c r="D19" s="198"/>
      <c r="E19" s="322"/>
      <c r="F19" s="198"/>
      <c r="G19" s="122"/>
      <c r="H19" s="319"/>
      <c r="I19" s="322"/>
      <c r="N19" s="305"/>
      <c r="O19" s="305"/>
      <c r="P19" s="305"/>
      <c r="Q19" s="305"/>
    </row>
    <row r="20" spans="1:17" ht="12.75">
      <c r="A20">
        <v>2</v>
      </c>
      <c r="B20" t="s">
        <v>552</v>
      </c>
      <c r="C20" s="1144">
        <f>+D45</f>
        <v>-16200897.42</v>
      </c>
      <c r="D20" s="324">
        <f aca="true" t="shared" si="0" ref="D20:D25">+C20/C$26</f>
        <v>0.3656799499336942</v>
      </c>
      <c r="E20" s="167">
        <f aca="true" t="shared" si="1" ref="E20:E25">ROUND(D20*E$26,0)</f>
        <v>0</v>
      </c>
      <c r="F20" s="1146">
        <v>0.08051591740041973</v>
      </c>
      <c r="G20" s="122">
        <f aca="true" t="shared" si="2" ref="G20:G25">+C20*F20</f>
        <v>-1304430.1184813932</v>
      </c>
      <c r="H20" s="122">
        <f aca="true" t="shared" si="3" ref="H20:H25">+F20*E20</f>
        <v>0</v>
      </c>
      <c r="I20" s="167">
        <f aca="true" t="shared" si="4" ref="I20:I25">+G20-H20</f>
        <v>-1304430.1184813932</v>
      </c>
      <c r="N20" s="305"/>
      <c r="O20" s="305"/>
      <c r="P20" s="305"/>
      <c r="Q20" s="305"/>
    </row>
    <row r="21" spans="1:17" ht="12.75">
      <c r="A21">
        <f aca="true" t="shared" si="5" ref="A21:A26">+A20+1</f>
        <v>3</v>
      </c>
      <c r="B21" t="s">
        <v>8</v>
      </c>
      <c r="C21" s="1144">
        <f>+F45</f>
        <v>-11509436.2</v>
      </c>
      <c r="D21" s="324">
        <f t="shared" si="0"/>
        <v>0.2597862293841403</v>
      </c>
      <c r="E21" s="167">
        <f t="shared" si="1"/>
        <v>0</v>
      </c>
      <c r="F21" s="1146">
        <v>0.050954393923188034</v>
      </c>
      <c r="G21" s="122">
        <f t="shared" si="2"/>
        <v>-586456.3459686004</v>
      </c>
      <c r="H21" s="122">
        <f t="shared" si="3"/>
        <v>0</v>
      </c>
      <c r="I21" s="167">
        <f t="shared" si="4"/>
        <v>-586456.3459686004</v>
      </c>
      <c r="N21" s="305"/>
      <c r="O21" s="305"/>
      <c r="P21" s="305"/>
      <c r="Q21" s="305"/>
    </row>
    <row r="22" spans="1:17" ht="12.75">
      <c r="A22">
        <f t="shared" si="5"/>
        <v>4</v>
      </c>
      <c r="B22" t="s">
        <v>553</v>
      </c>
      <c r="C22" s="1144">
        <f>+G45</f>
        <v>-3481273</v>
      </c>
      <c r="D22" s="324">
        <f t="shared" si="0"/>
        <v>0.0785778530252259</v>
      </c>
      <c r="E22" s="167">
        <f t="shared" si="1"/>
        <v>0</v>
      </c>
      <c r="F22" s="1146">
        <v>0.0681838558430012</v>
      </c>
      <c r="G22" s="122">
        <f t="shared" si="2"/>
        <v>-237366.6163821323</v>
      </c>
      <c r="H22" s="122">
        <f t="shared" si="3"/>
        <v>0</v>
      </c>
      <c r="I22" s="167">
        <f t="shared" si="4"/>
        <v>-237366.6163821323</v>
      </c>
      <c r="N22" s="305"/>
      <c r="O22" s="305"/>
      <c r="P22" s="305"/>
      <c r="Q22" s="305"/>
    </row>
    <row r="23" spans="1:17" ht="12.75">
      <c r="A23">
        <f t="shared" si="5"/>
        <v>5</v>
      </c>
      <c r="B23" t="s">
        <v>554</v>
      </c>
      <c r="C23" s="1144">
        <f>+H45</f>
        <v>-378229</v>
      </c>
      <c r="D23" s="324">
        <f t="shared" si="0"/>
        <v>0.008537228413823955</v>
      </c>
      <c r="E23" s="167">
        <f t="shared" si="1"/>
        <v>0</v>
      </c>
      <c r="F23" s="1146">
        <v>0.09690602989362956</v>
      </c>
      <c r="G23" s="122">
        <f t="shared" si="2"/>
        <v>-36652.670780637614</v>
      </c>
      <c r="H23" s="122">
        <f t="shared" si="3"/>
        <v>0</v>
      </c>
      <c r="I23" s="167">
        <f t="shared" si="4"/>
        <v>-36652.670780637614</v>
      </c>
      <c r="N23" s="305"/>
      <c r="O23" s="305"/>
      <c r="P23" s="305"/>
      <c r="Q23" s="305"/>
    </row>
    <row r="24" spans="1:17" ht="12.75">
      <c r="A24">
        <f t="shared" si="5"/>
        <v>6</v>
      </c>
      <c r="B24" t="s">
        <v>555</v>
      </c>
      <c r="C24" s="1144">
        <f>+I45</f>
        <v>-11964459</v>
      </c>
      <c r="D24" s="324">
        <f t="shared" si="0"/>
        <v>0.2700568156614954</v>
      </c>
      <c r="E24" s="167">
        <f t="shared" si="1"/>
        <v>0</v>
      </c>
      <c r="F24" s="1146">
        <v>0.15465641105347308</v>
      </c>
      <c r="G24" s="122">
        <f t="shared" si="2"/>
        <v>-1850380.2891364256</v>
      </c>
      <c r="H24" s="122">
        <f t="shared" si="3"/>
        <v>0</v>
      </c>
      <c r="I24" s="167">
        <f t="shared" si="4"/>
        <v>-1850380.2891364256</v>
      </c>
      <c r="N24" s="305"/>
      <c r="O24" s="305"/>
      <c r="P24" s="305"/>
      <c r="Q24" s="305"/>
    </row>
    <row r="25" spans="1:17" ht="12.75">
      <c r="A25">
        <f t="shared" si="5"/>
        <v>7</v>
      </c>
      <c r="B25" t="s">
        <v>556</v>
      </c>
      <c r="C25" s="1145">
        <f>+J45</f>
        <v>-769193.78</v>
      </c>
      <c r="D25" s="324">
        <f t="shared" si="0"/>
        <v>0.01736192358162027</v>
      </c>
      <c r="E25" s="314">
        <f t="shared" si="1"/>
        <v>0</v>
      </c>
      <c r="F25" s="1146">
        <v>0.023465695197899136</v>
      </c>
      <c r="G25" s="325">
        <f t="shared" si="2"/>
        <v>-18049.666789599887</v>
      </c>
      <c r="H25" s="325">
        <f t="shared" si="3"/>
        <v>0</v>
      </c>
      <c r="I25" s="314">
        <f t="shared" si="4"/>
        <v>-18049.666789599887</v>
      </c>
      <c r="N25" s="305"/>
      <c r="O25" s="305"/>
      <c r="P25" s="305"/>
      <c r="Q25" s="305"/>
    </row>
    <row r="26" spans="1:17" ht="12.75">
      <c r="A26">
        <f t="shared" si="5"/>
        <v>8</v>
      </c>
      <c r="B26" s="204" t="str">
        <f>"Sum of Lines "&amp;A20&amp;" to "&amp;A25&amp;""</f>
        <v>Sum of Lines 2 to 7</v>
      </c>
      <c r="C26" s="167">
        <f>SUM(C20:C25)</f>
        <v>-44303488.4</v>
      </c>
      <c r="E26" s="122">
        <f>+E10</f>
        <v>0</v>
      </c>
      <c r="F26" s="122"/>
      <c r="G26" s="122">
        <f>SUM(G20:G25)</f>
        <v>-4033335.707538789</v>
      </c>
      <c r="H26" s="122">
        <f>SUM(H20:H25)</f>
        <v>0</v>
      </c>
      <c r="I26" s="122">
        <f>SUM(I20:I25)</f>
        <v>-4033335.707538789</v>
      </c>
      <c r="N26" s="305"/>
      <c r="O26" s="305"/>
      <c r="P26" s="305"/>
      <c r="Q26" s="305"/>
    </row>
    <row r="27" spans="3:17" ht="12.75">
      <c r="C27" s="167"/>
      <c r="N27" s="305"/>
      <c r="O27" s="305"/>
      <c r="P27" s="305"/>
      <c r="Q27" s="305"/>
    </row>
    <row r="28" spans="9:17" ht="12.75">
      <c r="I28" s="305"/>
      <c r="N28" s="305"/>
      <c r="O28" s="305"/>
      <c r="P28" s="305"/>
      <c r="Q28" s="305"/>
    </row>
    <row r="29" spans="9:17" ht="12.75">
      <c r="I29" s="305"/>
      <c r="J29" s="305"/>
      <c r="K29" s="305"/>
      <c r="L29" s="305"/>
      <c r="M29" s="305"/>
      <c r="N29" s="305"/>
      <c r="O29" s="305"/>
      <c r="P29" s="305"/>
      <c r="Q29" s="305"/>
    </row>
    <row r="30" spans="9:17" ht="12.75">
      <c r="I30" s="305"/>
      <c r="J30" s="305"/>
      <c r="K30" s="305"/>
      <c r="L30" s="305"/>
      <c r="M30" s="305"/>
      <c r="N30" s="305"/>
      <c r="O30" s="305"/>
      <c r="P30" s="305"/>
      <c r="Q30" s="305"/>
    </row>
    <row r="31" spans="2:17" ht="12.75">
      <c r="B31" s="320" t="s">
        <v>540</v>
      </c>
      <c r="F31" s="274"/>
      <c r="I31" s="305"/>
      <c r="J31" s="305"/>
      <c r="K31" s="305"/>
      <c r="L31" s="305"/>
      <c r="M31" s="305"/>
      <c r="N31" s="305"/>
      <c r="O31" s="305"/>
      <c r="P31" s="305"/>
      <c r="Q31" s="305"/>
    </row>
    <row r="32" spans="5:17" ht="12.75">
      <c r="E32" s="274"/>
      <c r="I32" s="336"/>
      <c r="J32" s="305"/>
      <c r="K32" s="305"/>
      <c r="L32" s="305"/>
      <c r="M32" s="305"/>
      <c r="N32" s="305"/>
      <c r="O32" s="305"/>
      <c r="P32" s="305"/>
      <c r="Q32" s="305"/>
    </row>
    <row r="33" spans="4:17" ht="12.75">
      <c r="D33" s="326" t="s">
        <v>552</v>
      </c>
      <c r="E33" s="389"/>
      <c r="F33" s="326" t="s">
        <v>8</v>
      </c>
      <c r="G33" s="326" t="s">
        <v>553</v>
      </c>
      <c r="H33" s="326" t="s">
        <v>557</v>
      </c>
      <c r="I33" s="327" t="s">
        <v>555</v>
      </c>
      <c r="J33" s="327" t="s">
        <v>556</v>
      </c>
      <c r="K33" s="327" t="s">
        <v>558</v>
      </c>
      <c r="L33" s="305"/>
      <c r="M33" s="305"/>
      <c r="N33" s="305"/>
      <c r="O33" s="305"/>
      <c r="P33" s="305"/>
      <c r="Q33" s="305"/>
    </row>
    <row r="34" spans="5:17" ht="12.75">
      <c r="E34" s="390"/>
      <c r="I34" s="305"/>
      <c r="J34" s="305"/>
      <c r="K34" s="305"/>
      <c r="L34" s="305"/>
      <c r="M34" s="305"/>
      <c r="N34" s="305"/>
      <c r="O34" s="305"/>
      <c r="P34" s="305"/>
      <c r="Q34" s="305"/>
    </row>
    <row r="35" spans="1:17" ht="12.75">
      <c r="A35">
        <f>+A26+1</f>
        <v>9</v>
      </c>
      <c r="B35" t="s">
        <v>541</v>
      </c>
      <c r="D35" s="1144">
        <v>-15553365</v>
      </c>
      <c r="E35" s="391"/>
      <c r="F35" s="1144">
        <v>-11620295</v>
      </c>
      <c r="G35" s="1144">
        <v>-3566295</v>
      </c>
      <c r="H35" s="1144">
        <v>-334834</v>
      </c>
      <c r="I35" s="1144">
        <v>-11037888</v>
      </c>
      <c r="J35" s="1144">
        <v>-417243</v>
      </c>
      <c r="K35" s="328">
        <f>SUM(D35:J35)</f>
        <v>-42529920</v>
      </c>
      <c r="L35" s="305" t="s">
        <v>146</v>
      </c>
      <c r="M35" s="305"/>
      <c r="N35" s="305"/>
      <c r="O35" s="305"/>
      <c r="P35" s="305"/>
      <c r="Q35" s="305"/>
    </row>
    <row r="36" spans="4:10" ht="12.75">
      <c r="D36" s="167"/>
      <c r="E36" s="390"/>
      <c r="F36" s="167"/>
      <c r="G36" s="167"/>
      <c r="H36" s="167"/>
      <c r="I36" s="167"/>
      <c r="J36" s="167"/>
    </row>
    <row r="37" spans="1:17" ht="12.75">
      <c r="A37">
        <f>+A35+1</f>
        <v>10</v>
      </c>
      <c r="B37" s="1249" t="s">
        <v>559</v>
      </c>
      <c r="C37" s="1249"/>
      <c r="D37" s="1144">
        <f>-D35-D39+-15087648.42</f>
        <v>465716.5800000001</v>
      </c>
      <c r="E37" s="391"/>
      <c r="F37" s="1144">
        <f>-F35-F39+-10701398.2</f>
        <v>918896.8000000007</v>
      </c>
      <c r="G37" s="1144">
        <f>-G35-G39+-3196538</f>
        <v>369757</v>
      </c>
      <c r="H37" s="1144">
        <f>-H35-H39+-330262</f>
        <v>4572</v>
      </c>
      <c r="I37" s="1144">
        <f>-I35-I39+-10902779</f>
        <v>135109</v>
      </c>
      <c r="J37" s="1144">
        <f>-J35-J39+-707485.78</f>
        <v>-290242.78</v>
      </c>
      <c r="K37" s="328"/>
      <c r="L37" s="305"/>
      <c r="M37" s="305"/>
      <c r="N37" s="305"/>
      <c r="O37" s="305"/>
      <c r="P37" s="305"/>
      <c r="Q37" s="305"/>
    </row>
    <row r="38" spans="2:17" ht="12.75">
      <c r="B38" s="1249"/>
      <c r="C38" s="1249"/>
      <c r="D38" s="127"/>
      <c r="E38" s="390"/>
      <c r="F38" s="127"/>
      <c r="G38" s="127"/>
      <c r="H38" s="127"/>
      <c r="I38" s="127"/>
      <c r="J38" s="127"/>
      <c r="K38" s="284"/>
      <c r="L38" s="305"/>
      <c r="M38" s="305"/>
      <c r="N38" s="305"/>
      <c r="O38" s="305"/>
      <c r="P38" s="305"/>
      <c r="Q38" s="305"/>
    </row>
    <row r="39" spans="1:17" ht="12.75">
      <c r="A39">
        <f>+A37+1</f>
        <v>11</v>
      </c>
      <c r="B39" t="s">
        <v>560</v>
      </c>
      <c r="D39" s="1144">
        <v>0</v>
      </c>
      <c r="E39" s="391"/>
      <c r="F39" s="1144">
        <v>0</v>
      </c>
      <c r="G39" s="1144">
        <v>0</v>
      </c>
      <c r="H39" s="1144">
        <v>0</v>
      </c>
      <c r="I39" s="1144">
        <v>0</v>
      </c>
      <c r="J39" s="1144">
        <v>0</v>
      </c>
      <c r="K39" s="328">
        <f>SUM(D39:J39)</f>
        <v>0</v>
      </c>
      <c r="L39" s="305"/>
      <c r="M39" s="305"/>
      <c r="N39" s="305"/>
      <c r="O39" s="305"/>
      <c r="P39" s="305"/>
      <c r="Q39" s="305"/>
    </row>
    <row r="40" spans="4:17" ht="12.75">
      <c r="D40" s="329"/>
      <c r="E40" s="392"/>
      <c r="F40" s="329"/>
      <c r="G40" s="329"/>
      <c r="H40" s="329"/>
      <c r="I40" s="330"/>
      <c r="J40" s="330"/>
      <c r="K40" s="331"/>
      <c r="L40" s="305"/>
      <c r="M40" s="305"/>
      <c r="N40" s="305"/>
      <c r="O40" s="305"/>
      <c r="P40" s="305"/>
      <c r="Q40" s="305"/>
    </row>
    <row r="41" spans="1:17" ht="12.75">
      <c r="A41">
        <f>+A39+1</f>
        <v>12</v>
      </c>
      <c r="B41" t="str">
        <f>"Net Company Expense (Ln "&amp;A35&amp;" + Ln "&amp;A37&amp;" + Ln  "&amp;A39&amp;")"</f>
        <v>Net Company Expense (Ln 9 + Ln 10 + Ln  11)</v>
      </c>
      <c r="D41" s="274">
        <f aca="true" t="shared" si="6" ref="D41:J41">+D35+D39+D37</f>
        <v>-15087648.42</v>
      </c>
      <c r="E41" s="393"/>
      <c r="F41" s="274">
        <f t="shared" si="6"/>
        <v>-10701398.2</v>
      </c>
      <c r="G41" s="274">
        <f t="shared" si="6"/>
        <v>-3196538</v>
      </c>
      <c r="H41" s="274">
        <f t="shared" si="6"/>
        <v>-330262</v>
      </c>
      <c r="I41" s="274">
        <f t="shared" si="6"/>
        <v>-10902779</v>
      </c>
      <c r="J41" s="274">
        <f t="shared" si="6"/>
        <v>-707485.78</v>
      </c>
      <c r="K41" s="328">
        <f>SUM(D41:J41)</f>
        <v>-40926111.4</v>
      </c>
      <c r="L41" s="305"/>
      <c r="M41" s="305"/>
      <c r="N41" s="305"/>
      <c r="O41" s="305"/>
      <c r="P41" s="305"/>
      <c r="Q41" s="305"/>
    </row>
    <row r="42" spans="5:17" ht="12.75">
      <c r="E42" s="390"/>
      <c r="G42" s="274">
        <f>+G38+G40</f>
        <v>0</v>
      </c>
      <c r="I42" s="305"/>
      <c r="J42" s="305"/>
      <c r="K42" s="284"/>
      <c r="L42" s="332"/>
      <c r="M42" s="305"/>
      <c r="N42" s="305"/>
      <c r="O42" s="305"/>
      <c r="P42" s="305"/>
      <c r="Q42" s="305"/>
    </row>
    <row r="43" spans="1:17" ht="12.75">
      <c r="A43">
        <f>+A41+1</f>
        <v>13</v>
      </c>
      <c r="B43" s="1249" t="s">
        <v>542</v>
      </c>
      <c r="C43" s="1249"/>
      <c r="D43" s="1144">
        <v>-1113249</v>
      </c>
      <c r="E43" s="391"/>
      <c r="F43" s="1144">
        <v>-808038</v>
      </c>
      <c r="G43" s="1144">
        <v>-284735</v>
      </c>
      <c r="H43" s="1144">
        <v>-47967</v>
      </c>
      <c r="I43" s="1144">
        <v>-1061680</v>
      </c>
      <c r="J43" s="1144">
        <v>-61708</v>
      </c>
      <c r="K43" s="328">
        <f>SUM(D43:J43)</f>
        <v>-3377377</v>
      </c>
      <c r="L43" s="333" t="s">
        <v>146</v>
      </c>
      <c r="M43" s="305"/>
      <c r="N43" s="305"/>
      <c r="O43" s="305"/>
      <c r="P43" s="305"/>
      <c r="Q43" s="305"/>
    </row>
    <row r="44" spans="2:17" ht="12.75">
      <c r="B44" s="1249"/>
      <c r="C44" s="1249"/>
      <c r="D44" s="17"/>
      <c r="E44" s="390"/>
      <c r="I44" s="305"/>
      <c r="J44" s="305"/>
      <c r="K44" s="284"/>
      <c r="L44" s="305"/>
      <c r="M44" s="305"/>
      <c r="N44" s="305"/>
      <c r="O44" s="305"/>
      <c r="P44" s="305"/>
      <c r="Q44" s="305"/>
    </row>
    <row r="45" spans="1:17" ht="13.5" thickBot="1">
      <c r="A45">
        <f>+A43+1</f>
        <v>14</v>
      </c>
      <c r="B45" t="str">
        <f>"Company PBOP Expense (Ln "&amp;A41&amp;" + Ln  "&amp;A43&amp;")"</f>
        <v>Company PBOP Expense (Ln 12 + Ln  13)</v>
      </c>
      <c r="D45" s="386">
        <f>+D43+D39+D37+D35</f>
        <v>-16200897.42</v>
      </c>
      <c r="E45" s="394"/>
      <c r="F45" s="386">
        <f>+F43+F39+F37+F35</f>
        <v>-11509436.2</v>
      </c>
      <c r="G45" s="386">
        <f>+G43+G39+G37+G35</f>
        <v>-3481273</v>
      </c>
      <c r="H45" s="386">
        <f>+H43+H39+H37+H35</f>
        <v>-378229</v>
      </c>
      <c r="I45" s="386">
        <f>+I43+I39+I37+I35</f>
        <v>-11964459</v>
      </c>
      <c r="J45" s="386">
        <f>+J43+J39+J37+J35</f>
        <v>-769193.78</v>
      </c>
      <c r="K45" s="334">
        <f>SUM(D45:J45)</f>
        <v>-44303488.4</v>
      </c>
      <c r="L45" s="305"/>
      <c r="M45" s="305"/>
      <c r="N45" s="305"/>
      <c r="O45" s="305"/>
      <c r="P45" s="305"/>
      <c r="Q45" s="305"/>
    </row>
    <row r="46" spans="9:17" ht="13.5" thickTop="1">
      <c r="I46" s="305"/>
      <c r="J46" s="305"/>
      <c r="K46" s="305"/>
      <c r="L46" s="305"/>
      <c r="M46" s="305"/>
      <c r="N46" s="305"/>
      <c r="O46" s="305"/>
      <c r="P46" s="305"/>
      <c r="Q46" s="305"/>
    </row>
    <row r="47" spans="1:17" ht="12.75">
      <c r="A47" s="1253" t="s">
        <v>768</v>
      </c>
      <c r="B47" s="1253"/>
      <c r="C47" s="1253"/>
      <c r="D47" s="1253"/>
      <c r="E47" s="1253"/>
      <c r="F47" s="1253"/>
      <c r="G47" s="1253"/>
      <c r="H47" s="1253"/>
      <c r="I47" s="1253"/>
      <c r="J47" s="1253"/>
      <c r="K47" s="1253"/>
      <c r="L47" s="305"/>
      <c r="M47" s="305"/>
      <c r="N47" s="305"/>
      <c r="O47" s="305"/>
      <c r="P47" s="305"/>
      <c r="Q47" s="305"/>
    </row>
    <row r="48" spans="1:17" ht="12.75">
      <c r="A48" s="1253"/>
      <c r="B48" s="1253"/>
      <c r="C48" s="1253"/>
      <c r="D48" s="1253"/>
      <c r="E48" s="1253"/>
      <c r="F48" s="1253"/>
      <c r="G48" s="1253"/>
      <c r="H48" s="1253"/>
      <c r="I48" s="1253"/>
      <c r="J48" s="1253"/>
      <c r="K48" s="1253"/>
      <c r="L48" s="305"/>
      <c r="M48" s="305"/>
      <c r="N48" s="305"/>
      <c r="O48" s="305"/>
      <c r="P48" s="305"/>
      <c r="Q48" s="305"/>
    </row>
    <row r="49" spans="1:17" ht="12.75">
      <c r="A49" s="1253"/>
      <c r="B49" s="1253"/>
      <c r="C49" s="1253"/>
      <c r="D49" s="1253"/>
      <c r="E49" s="1253"/>
      <c r="F49" s="1253"/>
      <c r="G49" s="1253"/>
      <c r="H49" s="1253"/>
      <c r="I49" s="1253"/>
      <c r="J49" s="1253"/>
      <c r="K49" s="1253"/>
      <c r="L49" s="305"/>
      <c r="M49" s="305"/>
      <c r="N49" s="305"/>
      <c r="O49" s="305"/>
      <c r="P49" s="305"/>
      <c r="Q49" s="305"/>
    </row>
    <row r="50" spans="1:17" ht="12.75">
      <c r="A50" s="1253"/>
      <c r="B50" s="1253"/>
      <c r="C50" s="1253"/>
      <c r="D50" s="1253"/>
      <c r="E50" s="1253"/>
      <c r="F50" s="1253"/>
      <c r="G50" s="1253"/>
      <c r="H50" s="1253"/>
      <c r="I50" s="1253"/>
      <c r="J50" s="1253"/>
      <c r="K50" s="1253"/>
      <c r="Q50" s="305"/>
    </row>
    <row r="51" spans="1:17" ht="12.75">
      <c r="A51" s="1253"/>
      <c r="B51" s="1253"/>
      <c r="C51" s="1253"/>
      <c r="D51" s="1253"/>
      <c r="E51" s="1253"/>
      <c r="F51" s="1253"/>
      <c r="G51" s="1253"/>
      <c r="H51" s="1253"/>
      <c r="I51" s="1253"/>
      <c r="J51" s="1253"/>
      <c r="K51" s="1253"/>
      <c r="Q51" s="305"/>
    </row>
    <row r="52" spans="1:17" ht="12.75">
      <c r="A52" s="1253"/>
      <c r="B52" s="1253"/>
      <c r="C52" s="1253"/>
      <c r="D52" s="1253"/>
      <c r="E52" s="1253"/>
      <c r="F52" s="1253"/>
      <c r="G52" s="1253"/>
      <c r="H52" s="1253"/>
      <c r="I52" s="1253"/>
      <c r="J52" s="1253"/>
      <c r="K52" s="1253"/>
      <c r="Q52" s="305"/>
    </row>
    <row r="53" spans="1:17" ht="12.75">
      <c r="A53" s="1253"/>
      <c r="B53" s="1253"/>
      <c r="C53" s="1253"/>
      <c r="D53" s="1253"/>
      <c r="E53" s="1253"/>
      <c r="F53" s="1253"/>
      <c r="G53" s="1253"/>
      <c r="H53" s="1253"/>
      <c r="I53" s="1253"/>
      <c r="J53" s="1253"/>
      <c r="K53" s="1253"/>
      <c r="Q53" s="305"/>
    </row>
    <row r="54" spans="1:17" ht="12.75">
      <c r="A54" s="1253"/>
      <c r="B54" s="1253"/>
      <c r="C54" s="1253"/>
      <c r="D54" s="1253"/>
      <c r="E54" s="1253"/>
      <c r="F54" s="1253"/>
      <c r="G54" s="1253"/>
      <c r="H54" s="1253"/>
      <c r="I54" s="1253"/>
      <c r="J54" s="1253"/>
      <c r="K54" s="1253"/>
      <c r="Q54" s="305"/>
    </row>
    <row r="55" spans="1:17" ht="12.75">
      <c r="A55" s="1253"/>
      <c r="B55" s="1253"/>
      <c r="C55" s="1253"/>
      <c r="D55" s="1253"/>
      <c r="E55" s="1253"/>
      <c r="F55" s="1253"/>
      <c r="G55" s="1253"/>
      <c r="H55" s="1253"/>
      <c r="I55" s="1253"/>
      <c r="J55" s="1253"/>
      <c r="K55" s="1253"/>
      <c r="Q55" s="305"/>
    </row>
    <row r="56" ht="12.75">
      <c r="Q56" s="304"/>
    </row>
    <row r="57" ht="18.75" customHeight="1"/>
    <row r="58" spans="17:19" ht="12.75" customHeight="1">
      <c r="Q58" s="211"/>
      <c r="R58" s="211"/>
      <c r="S58" s="211"/>
    </row>
    <row r="59" ht="68.25" customHeight="1"/>
    <row r="70" ht="39.75" customHeight="1"/>
    <row r="79" spans="17:22" ht="15.75" customHeight="1">
      <c r="Q79" s="335"/>
      <c r="R79" s="335"/>
      <c r="S79" s="335"/>
      <c r="T79" s="335"/>
      <c r="U79" s="335"/>
      <c r="V79" s="130"/>
    </row>
    <row r="80" spans="17:22" ht="6" customHeight="1">
      <c r="Q80" s="335"/>
      <c r="R80" s="335"/>
      <c r="S80" s="335"/>
      <c r="T80" s="335"/>
      <c r="U80" s="335"/>
      <c r="V80" s="130"/>
    </row>
    <row r="81" spans="17:22" ht="12.75">
      <c r="Q81" s="335"/>
      <c r="R81" s="335"/>
      <c r="S81" s="335"/>
      <c r="T81" s="335"/>
      <c r="U81" s="335"/>
      <c r="V81" s="130"/>
    </row>
    <row r="82" spans="17:22" ht="6" customHeight="1">
      <c r="Q82" s="335"/>
      <c r="R82" s="335"/>
      <c r="S82" s="335"/>
      <c r="T82" s="335"/>
      <c r="U82" s="335"/>
      <c r="V82" s="130"/>
    </row>
    <row r="83" spans="17:22" ht="12.75">
      <c r="Q83" s="335"/>
      <c r="R83" s="335"/>
      <c r="S83" s="335"/>
      <c r="T83" s="335"/>
      <c r="U83" s="335"/>
      <c r="V83" s="130"/>
    </row>
    <row r="84" spans="17:22" ht="12.75" customHeight="1">
      <c r="Q84" s="335"/>
      <c r="R84" s="335"/>
      <c r="S84" s="335"/>
      <c r="T84" s="335"/>
      <c r="U84" s="335"/>
      <c r="V84" s="130"/>
    </row>
    <row r="85" spans="17:22" ht="6.75" customHeight="1">
      <c r="Q85" s="335"/>
      <c r="R85" s="335"/>
      <c r="S85" s="335"/>
      <c r="T85" s="335"/>
      <c r="U85" s="335"/>
      <c r="V85" s="130"/>
    </row>
    <row r="86" spans="17:22" ht="12.75">
      <c r="Q86" s="335"/>
      <c r="R86" s="335"/>
      <c r="S86" s="335"/>
      <c r="T86" s="335"/>
      <c r="U86" s="335"/>
      <c r="V86" s="130"/>
    </row>
    <row r="87" spans="17:21" ht="12.75">
      <c r="Q87" s="335"/>
      <c r="R87" s="335"/>
      <c r="S87" s="335"/>
      <c r="T87" s="335"/>
      <c r="U87" s="130"/>
    </row>
    <row r="88" spans="17:21" ht="12.75">
      <c r="Q88" s="335"/>
      <c r="R88" s="335"/>
      <c r="S88" s="335"/>
      <c r="T88" s="335"/>
      <c r="U88" s="130"/>
    </row>
    <row r="89" spans="17:21" ht="12.75">
      <c r="Q89" s="335"/>
      <c r="R89" s="335"/>
      <c r="S89" s="335"/>
      <c r="T89" s="335"/>
      <c r="U89" s="130"/>
    </row>
    <row r="90" spans="17:18" ht="12.75">
      <c r="Q90" s="304"/>
      <c r="R90" s="304"/>
    </row>
    <row r="91" ht="12.75">
      <c r="Q91" s="304"/>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67"/>
    </row>
    <row r="181" ht="12.75">
      <c r="M181" s="198"/>
    </row>
    <row r="182" ht="12.75">
      <c r="M182" s="19"/>
    </row>
    <row r="183" ht="12.75" customHeight="1">
      <c r="M183" s="19"/>
    </row>
    <row r="184" ht="12.75">
      <c r="M184" s="19"/>
    </row>
    <row r="185" ht="12.75">
      <c r="M185" s="19"/>
    </row>
    <row r="186" ht="12.75">
      <c r="M186" s="322"/>
    </row>
    <row r="187" ht="12.75">
      <c r="M187" s="322"/>
    </row>
    <row r="188" ht="12.75">
      <c r="M188" s="167"/>
    </row>
    <row r="189" ht="12.75">
      <c r="M189" s="167"/>
    </row>
    <row r="190" ht="12.75">
      <c r="M190" s="167"/>
    </row>
    <row r="191" ht="12.75">
      <c r="M191" s="167"/>
    </row>
    <row r="192" ht="12.75">
      <c r="M192" s="167"/>
    </row>
    <row r="193" ht="12.75">
      <c r="M193" s="167"/>
    </row>
    <row r="194" ht="12.75">
      <c r="M194" s="72"/>
    </row>
    <row r="195" ht="12.75">
      <c r="M195" s="122"/>
    </row>
    <row r="197" ht="12.75">
      <c r="M197" s="167"/>
    </row>
    <row r="202" ht="12.75">
      <c r="M202" s="167"/>
    </row>
    <row r="203" ht="12.75">
      <c r="M203" s="198"/>
    </row>
    <row r="204" ht="12.75">
      <c r="M204" s="19"/>
    </row>
    <row r="205" ht="12.75" customHeight="1">
      <c r="M205" s="19"/>
    </row>
    <row r="206" ht="12.75">
      <c r="M206" s="19"/>
    </row>
    <row r="207" ht="12.75">
      <c r="M207" s="19"/>
    </row>
    <row r="208" ht="12.75">
      <c r="M208" s="322"/>
    </row>
    <row r="209" ht="12.75">
      <c r="M209" s="322"/>
    </row>
    <row r="210" ht="12.75">
      <c r="M210" s="167"/>
    </row>
    <row r="211" ht="12.75">
      <c r="M211" s="167"/>
    </row>
    <row r="212" ht="12.75">
      <c r="M212" s="167"/>
    </row>
    <row r="213" ht="12.75">
      <c r="M213" s="167"/>
    </row>
    <row r="214" ht="12.75">
      <c r="M214" s="167"/>
    </row>
    <row r="215" ht="12.75">
      <c r="M215" s="167"/>
    </row>
    <row r="216" ht="12.75">
      <c r="M216" s="72"/>
    </row>
    <row r="217" ht="12.75">
      <c r="M217" s="122"/>
    </row>
    <row r="219" ht="12.75">
      <c r="M219" s="167"/>
    </row>
    <row r="224" ht="12.75">
      <c r="M224" s="167"/>
    </row>
    <row r="225" ht="12.75">
      <c r="M225" s="198"/>
    </row>
    <row r="226" ht="12.75">
      <c r="M226" s="19"/>
    </row>
    <row r="227" ht="12.75" customHeight="1">
      <c r="M227" s="19"/>
    </row>
    <row r="228" ht="12.75">
      <c r="M228" s="19"/>
    </row>
    <row r="229" ht="12.75">
      <c r="M229" s="19"/>
    </row>
    <row r="230" ht="12.75">
      <c r="M230" s="322"/>
    </row>
    <row r="231" ht="12.75">
      <c r="M231" s="322"/>
    </row>
    <row r="232" ht="12.75">
      <c r="M232" s="167"/>
    </row>
    <row r="233" ht="12.75">
      <c r="M233" s="167"/>
    </row>
    <row r="234" ht="12.75">
      <c r="M234" s="167"/>
    </row>
    <row r="235" ht="12.75">
      <c r="M235" s="167"/>
    </row>
    <row r="236" ht="12.75">
      <c r="M236" s="167"/>
    </row>
    <row r="237" ht="12.75">
      <c r="M237" s="167"/>
    </row>
    <row r="238" ht="12.75">
      <c r="M238" s="72"/>
    </row>
    <row r="239" ht="12.75">
      <c r="M239" s="122"/>
    </row>
    <row r="241" ht="12.75">
      <c r="M241" s="167"/>
    </row>
    <row r="246" ht="12.75">
      <c r="M246" s="167"/>
    </row>
    <row r="247" ht="12.75">
      <c r="M247" s="198"/>
    </row>
    <row r="248" ht="12.75">
      <c r="M248" s="19"/>
    </row>
    <row r="249" ht="12.75" customHeight="1">
      <c r="M249" s="19"/>
    </row>
    <row r="250" ht="12.75">
      <c r="M250" s="19"/>
    </row>
    <row r="251" ht="12.75">
      <c r="M251" s="19"/>
    </row>
    <row r="252" ht="12.75">
      <c r="M252" s="322"/>
    </row>
    <row r="253" ht="12.75">
      <c r="M253" s="322"/>
    </row>
    <row r="254" ht="12.75">
      <c r="M254" s="167"/>
    </row>
    <row r="255" ht="12.75">
      <c r="M255" s="167"/>
    </row>
    <row r="256" ht="12.75">
      <c r="M256" s="167"/>
    </row>
    <row r="257" ht="12.75">
      <c r="M257" s="167"/>
    </row>
    <row r="258" ht="12.75">
      <c r="M258" s="167"/>
    </row>
    <row r="259" ht="12.75">
      <c r="M259" s="167"/>
    </row>
    <row r="260" ht="12.75">
      <c r="M260" s="72"/>
    </row>
    <row r="261" ht="12.75">
      <c r="M261" s="122"/>
    </row>
    <row r="263" ht="12.75">
      <c r="M263" s="167"/>
    </row>
    <row r="268" ht="12.75">
      <c r="M268" s="167"/>
    </row>
    <row r="269" ht="12.75">
      <c r="M269" s="198"/>
    </row>
    <row r="270" ht="12.75" customHeight="1">
      <c r="M270" s="19"/>
    </row>
    <row r="271" ht="12.75" customHeight="1">
      <c r="M271" s="19"/>
    </row>
    <row r="272" ht="12.75">
      <c r="M272" s="19"/>
    </row>
    <row r="273" ht="12.75" customHeight="1">
      <c r="M273" s="19"/>
    </row>
    <row r="274" ht="12.75">
      <c r="M274" s="322"/>
    </row>
    <row r="275" ht="12.75">
      <c r="M275" s="322"/>
    </row>
    <row r="276" ht="12.75">
      <c r="M276" s="167"/>
    </row>
    <row r="277" ht="12.75">
      <c r="M277" s="167"/>
    </row>
    <row r="278" ht="12.75">
      <c r="M278" s="167"/>
    </row>
    <row r="279" ht="12.75">
      <c r="M279" s="167"/>
    </row>
    <row r="280" ht="12.75">
      <c r="M280" s="167"/>
    </row>
    <row r="281" ht="12.75">
      <c r="M281" s="167"/>
    </row>
    <row r="282" ht="12.75">
      <c r="M282" s="72"/>
    </row>
    <row r="283" ht="12.75">
      <c r="M283" s="122"/>
    </row>
    <row r="285" ht="12.75">
      <c r="M285" s="167"/>
    </row>
  </sheetData>
  <sheetProtection password="CA99" sheet="1"/>
  <mergeCells count="16">
    <mergeCell ref="I14:I16"/>
    <mergeCell ref="C14:C16"/>
    <mergeCell ref="D14:D16"/>
    <mergeCell ref="B43:C44"/>
    <mergeCell ref="B37:C38"/>
    <mergeCell ref="E14:E16"/>
    <mergeCell ref="A47:K55"/>
    <mergeCell ref="B7:M7"/>
    <mergeCell ref="B12:C12"/>
    <mergeCell ref="C13:E13"/>
    <mergeCell ref="A1:K1"/>
    <mergeCell ref="A4:K4"/>
    <mergeCell ref="A3:L3"/>
    <mergeCell ref="A2:K2"/>
    <mergeCell ref="F15:F16"/>
    <mergeCell ref="H15:H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B1:E31"/>
  <sheetViews>
    <sheetView defaultGridColor="0" zoomScale="75" zoomScaleNormal="75" zoomScalePageLayoutView="0" colorId="22" workbookViewId="0" topLeftCell="A1">
      <selection activeCell="E20" sqref="E20"/>
    </sheetView>
  </sheetViews>
  <sheetFormatPr defaultColWidth="14.7109375" defaultRowHeight="12.75"/>
  <cols>
    <col min="1" max="1" width="22.7109375" style="996" customWidth="1"/>
    <col min="2" max="2" width="33.140625" style="996" customWidth="1"/>
    <col min="3" max="4" width="31.8515625" style="996" customWidth="1"/>
    <col min="5" max="5" width="16.7109375" style="996" customWidth="1"/>
    <col min="6" max="6" width="14.7109375" style="996" customWidth="1"/>
    <col min="7" max="7" width="4.8515625" style="996" customWidth="1"/>
    <col min="8" max="8" width="14.7109375" style="997" customWidth="1"/>
    <col min="9" max="9" width="18.28125" style="996" customWidth="1"/>
    <col min="10" max="10" width="15.57421875" style="996" customWidth="1"/>
    <col min="11" max="11" width="6.140625" style="996" customWidth="1"/>
    <col min="12" max="12" width="14.7109375" style="996" customWidth="1"/>
    <col min="13" max="13" width="16.140625" style="996" customWidth="1"/>
    <col min="14" max="14" width="14.7109375" style="996" customWidth="1"/>
    <col min="15" max="15" width="4.8515625" style="996" customWidth="1"/>
    <col min="16" max="16" width="18.57421875" style="996" customWidth="1"/>
    <col min="17" max="16384" width="14.7109375" style="996" customWidth="1"/>
  </cols>
  <sheetData>
    <row r="1" spans="2:5" ht="19.5">
      <c r="B1" s="1259" t="s">
        <v>498</v>
      </c>
      <c r="C1" s="1259"/>
      <c r="D1" s="1259"/>
      <c r="E1" s="1259"/>
    </row>
    <row r="2" spans="2:5" ht="19.5">
      <c r="B2" s="1259" t="s">
        <v>846</v>
      </c>
      <c r="C2" s="1259"/>
      <c r="D2" s="1259"/>
      <c r="E2" s="1259"/>
    </row>
    <row r="3" spans="2:5" ht="19.5">
      <c r="B3" s="1259" t="s">
        <v>847</v>
      </c>
      <c r="C3" s="1259"/>
      <c r="D3" s="1259"/>
      <c r="E3" s="1259"/>
    </row>
    <row r="4" spans="2:5" ht="19.5">
      <c r="B4" s="1259" t="s">
        <v>848</v>
      </c>
      <c r="C4" s="1259"/>
      <c r="D4" s="1259"/>
      <c r="E4" s="1259"/>
    </row>
    <row r="5" spans="2:5" ht="19.5">
      <c r="B5" s="1259" t="s">
        <v>849</v>
      </c>
      <c r="C5" s="1259"/>
      <c r="D5" s="1259"/>
      <c r="E5" s="1259"/>
    </row>
    <row r="6" spans="2:5" ht="19.5">
      <c r="B6" s="1259" t="s">
        <v>850</v>
      </c>
      <c r="C6" s="1259"/>
      <c r="D6" s="1259"/>
      <c r="E6" s="1259"/>
    </row>
    <row r="7" spans="2:4" ht="15">
      <c r="B7" s="998"/>
      <c r="C7" s="998"/>
      <c r="D7" s="999" t="s">
        <v>146</v>
      </c>
    </row>
    <row r="8" spans="2:3" ht="15.75">
      <c r="B8" s="998"/>
      <c r="C8" s="1000" t="s">
        <v>499</v>
      </c>
    </row>
    <row r="9" spans="2:5" ht="15.75">
      <c r="B9" s="999"/>
      <c r="C9" s="1000" t="s">
        <v>500</v>
      </c>
      <c r="D9" s="1000" t="s">
        <v>501</v>
      </c>
      <c r="E9" s="1000"/>
    </row>
    <row r="10" spans="2:4" ht="15.75" thickBot="1">
      <c r="B10" s="1001"/>
      <c r="C10" s="998"/>
      <c r="D10" s="422" t="s">
        <v>641</v>
      </c>
    </row>
    <row r="11" spans="2:4" ht="15">
      <c r="B11" s="1002" t="s">
        <v>502</v>
      </c>
      <c r="C11" s="1003"/>
      <c r="D11" s="359"/>
    </row>
    <row r="12" spans="3:5" ht="15">
      <c r="C12" s="1004"/>
      <c r="D12" s="358"/>
      <c r="E12" s="1005"/>
    </row>
    <row r="13" spans="2:5" ht="15">
      <c r="B13" s="996" t="s">
        <v>851</v>
      </c>
      <c r="C13" s="1006">
        <v>350.1</v>
      </c>
      <c r="D13" s="358">
        <v>0.0144</v>
      </c>
      <c r="E13" s="1005"/>
    </row>
    <row r="14" spans="2:5" ht="15">
      <c r="B14" s="996" t="s">
        <v>503</v>
      </c>
      <c r="C14" s="360">
        <v>352</v>
      </c>
      <c r="D14" s="358">
        <v>0.0208</v>
      </c>
      <c r="E14" s="1005"/>
    </row>
    <row r="15" spans="2:5" ht="15">
      <c r="B15" s="996" t="s">
        <v>504</v>
      </c>
      <c r="C15" s="360">
        <v>353</v>
      </c>
      <c r="D15" s="358">
        <v>0.0215</v>
      </c>
      <c r="E15" s="1005"/>
    </row>
    <row r="16" spans="2:5" ht="15">
      <c r="B16" s="996" t="s">
        <v>505</v>
      </c>
      <c r="C16" s="360">
        <v>354</v>
      </c>
      <c r="D16" s="358">
        <v>0.0261</v>
      </c>
      <c r="E16" s="1005"/>
    </row>
    <row r="17" spans="2:5" ht="15">
      <c r="B17" s="996" t="s">
        <v>506</v>
      </c>
      <c r="C17" s="360">
        <v>355</v>
      </c>
      <c r="D17" s="358">
        <v>0.0395</v>
      </c>
      <c r="E17" s="1005"/>
    </row>
    <row r="18" spans="2:5" ht="15">
      <c r="B18" s="996" t="s">
        <v>852</v>
      </c>
      <c r="C18" s="360">
        <v>356</v>
      </c>
      <c r="D18" s="358">
        <v>0.0291</v>
      </c>
      <c r="E18" s="1005"/>
    </row>
    <row r="19" spans="2:5" ht="15">
      <c r="B19" s="996" t="s">
        <v>507</v>
      </c>
      <c r="C19" s="360">
        <v>357</v>
      </c>
      <c r="D19" s="358">
        <v>0.0299</v>
      </c>
      <c r="E19" s="1005"/>
    </row>
    <row r="20" spans="2:5" ht="15">
      <c r="B20" s="996" t="s">
        <v>508</v>
      </c>
      <c r="C20" s="360">
        <v>358</v>
      </c>
      <c r="D20" s="358">
        <v>0.0262</v>
      </c>
      <c r="E20" s="1005"/>
    </row>
    <row r="21" spans="3:4" ht="15">
      <c r="C21" s="998"/>
      <c r="D21" s="358"/>
    </row>
    <row r="22" spans="2:4" ht="15.75">
      <c r="B22" s="996" t="s">
        <v>853</v>
      </c>
      <c r="C22" s="1007"/>
      <c r="D22" s="361"/>
    </row>
    <row r="23" spans="2:5" ht="15">
      <c r="B23" s="1257"/>
      <c r="C23" s="1257"/>
      <c r="D23" s="1257"/>
      <c r="E23" s="1257"/>
    </row>
    <row r="24" spans="2:5" ht="15">
      <c r="B24" s="1257" t="s">
        <v>854</v>
      </c>
      <c r="C24" s="1257"/>
      <c r="D24" s="1257"/>
      <c r="E24" s="1257"/>
    </row>
    <row r="25" spans="2:5" ht="15">
      <c r="B25" s="1257"/>
      <c r="C25" s="1257"/>
      <c r="D25" s="1257"/>
      <c r="E25" s="1257"/>
    </row>
    <row r="26" spans="2:4" ht="15.75">
      <c r="B26" s="1008" t="s">
        <v>855</v>
      </c>
      <c r="C26" s="998"/>
      <c r="D26" s="358"/>
    </row>
    <row r="27" spans="2:5" ht="15">
      <c r="B27" s="1258" t="s">
        <v>48</v>
      </c>
      <c r="C27" s="1258"/>
      <c r="D27" s="1258"/>
      <c r="E27" s="659"/>
    </row>
    <row r="28" spans="2:5" ht="15">
      <c r="B28" s="1258"/>
      <c r="C28" s="1258"/>
      <c r="D28" s="1258"/>
      <c r="E28" s="659"/>
    </row>
    <row r="29" spans="2:5" ht="15">
      <c r="B29" s="1258"/>
      <c r="C29" s="1258"/>
      <c r="D29" s="1258"/>
      <c r="E29" s="659"/>
    </row>
    <row r="30" spans="2:5" ht="15">
      <c r="B30" s="1258"/>
      <c r="C30" s="1258"/>
      <c r="D30" s="1258"/>
      <c r="E30" s="659"/>
    </row>
    <row r="31" spans="2:5" ht="15">
      <c r="B31" s="1258"/>
      <c r="C31" s="1258"/>
      <c r="D31" s="1258"/>
      <c r="E31" s="659"/>
    </row>
  </sheetData>
  <sheetProtection password="CA99" sheet="1" objects="1" scenarios="1"/>
  <mergeCells count="10">
    <mergeCell ref="B23:E23"/>
    <mergeCell ref="B24:E24"/>
    <mergeCell ref="B25:E25"/>
    <mergeCell ref="B27:D31"/>
    <mergeCell ref="B1:E1"/>
    <mergeCell ref="B2:E2"/>
    <mergeCell ref="B3:E3"/>
    <mergeCell ref="B4:E4"/>
    <mergeCell ref="B5:E5"/>
    <mergeCell ref="B6:E6"/>
  </mergeCells>
  <conditionalFormatting sqref="B1:T2">
    <cfRule type="cellIs" priority="10" dxfId="0" operator="lessThan" stopIfTrue="1">
      <formula>0</formula>
    </cfRule>
  </conditionalFormatting>
  <printOptions horizontalCentered="1"/>
  <pageMargins left="0.55" right="0.55" top="1.25" bottom="0.75" header="0.75" footer="0.27"/>
  <pageSetup fitToHeight="1" fitToWidth="1" horizontalDpi="600" verticalDpi="600" orientation="landscape" scale="94"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N24" sqref="N24"/>
    </sheetView>
  </sheetViews>
  <sheetFormatPr defaultColWidth="8.8515625" defaultRowHeight="12.75"/>
  <cols>
    <col min="1" max="1" width="33.421875" style="441" customWidth="1"/>
    <col min="2" max="2" width="10.28125" style="441" customWidth="1"/>
    <col min="3" max="3" width="3.28125" style="441" customWidth="1"/>
    <col min="4" max="4" width="25.8515625" style="441" customWidth="1"/>
    <col min="5" max="5" width="4.7109375" style="441" customWidth="1"/>
    <col min="6" max="6" width="15.57421875" style="441" customWidth="1"/>
    <col min="7" max="7" width="8.8515625" style="441" customWidth="1"/>
    <col min="8" max="8" width="17.8515625" style="441" customWidth="1"/>
    <col min="9" max="9" width="17.421875" style="441" customWidth="1"/>
    <col min="10" max="10" width="8.8515625" style="441" customWidth="1"/>
    <col min="11" max="11" width="18.140625" style="441" customWidth="1"/>
    <col min="12" max="16384" width="8.8515625" style="441" customWidth="1"/>
  </cols>
  <sheetData>
    <row r="1" spans="1:11" ht="15.75">
      <c r="A1" s="1260" t="s">
        <v>491</v>
      </c>
      <c r="B1" s="1260"/>
      <c r="C1" s="1260"/>
      <c r="D1" s="1260"/>
      <c r="E1" s="1260"/>
      <c r="F1" s="1260"/>
      <c r="G1" s="1260"/>
      <c r="H1" s="1260"/>
      <c r="I1" s="1260"/>
      <c r="J1" s="1260"/>
      <c r="K1" s="1260"/>
    </row>
    <row r="2" spans="1:11" ht="15.75">
      <c r="A2" s="1261" t="s">
        <v>736</v>
      </c>
      <c r="B2" s="1261"/>
      <c r="C2" s="1261"/>
      <c r="D2" s="1261"/>
      <c r="E2" s="1261"/>
      <c r="F2" s="1261"/>
      <c r="G2" s="1261"/>
      <c r="H2" s="1261"/>
      <c r="I2" s="1261"/>
      <c r="J2" s="1261"/>
      <c r="K2" s="1261"/>
    </row>
    <row r="3" spans="1:11" ht="15.75">
      <c r="A3" s="1261" t="s">
        <v>737</v>
      </c>
      <c r="B3" s="1261"/>
      <c r="C3" s="1261"/>
      <c r="D3" s="1261"/>
      <c r="E3" s="1261"/>
      <c r="F3" s="1261"/>
      <c r="G3" s="1261"/>
      <c r="H3" s="1261"/>
      <c r="I3" s="1261"/>
      <c r="J3" s="1261"/>
      <c r="K3" s="1261"/>
    </row>
    <row r="4" spans="1:11" ht="15.75">
      <c r="A4" s="647"/>
      <c r="B4" s="647"/>
      <c r="C4" s="647"/>
      <c r="D4" s="1261"/>
      <c r="E4" s="1261"/>
      <c r="F4" s="1261"/>
      <c r="G4" s="1261"/>
      <c r="H4" s="647"/>
      <c r="I4" s="647"/>
      <c r="J4" s="647"/>
      <c r="K4" s="647"/>
    </row>
    <row r="5" spans="1:11" ht="12.75">
      <c r="A5" s="534"/>
      <c r="B5" s="534"/>
      <c r="C5" s="534"/>
      <c r="D5" s="534"/>
      <c r="E5" s="534"/>
      <c r="F5" s="534"/>
      <c r="G5" s="534"/>
      <c r="H5" s="534"/>
      <c r="I5" s="534"/>
      <c r="J5" s="534"/>
      <c r="K5" s="534"/>
    </row>
    <row r="6" spans="1:11" ht="12.75">
      <c r="A6" s="534"/>
      <c r="B6" s="534"/>
      <c r="C6" s="534"/>
      <c r="D6" s="534"/>
      <c r="E6" s="534"/>
      <c r="F6" s="534"/>
      <c r="G6" s="534"/>
      <c r="H6" s="534"/>
      <c r="I6" s="534"/>
      <c r="J6" s="534"/>
      <c r="K6" s="534"/>
    </row>
    <row r="7" spans="1:11" ht="16.5" thickBot="1">
      <c r="A7" s="1009"/>
      <c r="B7" s="1010"/>
      <c r="C7" s="1010"/>
      <c r="D7" s="1010"/>
      <c r="E7" s="1010"/>
      <c r="F7" s="1010"/>
      <c r="G7" s="1010"/>
      <c r="H7" s="1010"/>
      <c r="I7" s="1010"/>
      <c r="J7" s="1010"/>
      <c r="K7" s="1010"/>
    </row>
    <row r="8" spans="1:11" ht="47.25">
      <c r="A8" s="1011" t="str">
        <f>"Reconciliation Revenue Requirement For Year "&amp;'KP TCOS'!L2+1&amp;" Available May 25, "&amp;'KP TCOS'!L2+2&amp;""</f>
        <v>Reconciliation Revenue Requirement For Year 2018 Available May 25, 2019</v>
      </c>
      <c r="B8" s="1010"/>
      <c r="C8" s="1010"/>
      <c r="D8" s="1011" t="str">
        <f>""&amp;'KP TCOS'!L2+1&amp;" Revenue Requirement Forecast by October 31, "&amp;'KP TCOS'!L2</f>
        <v>2018 Revenue Requirement Forecast by October 31, 2017</v>
      </c>
      <c r="E8" s="1010"/>
      <c r="F8" s="1010"/>
      <c r="G8" s="647"/>
      <c r="H8" s="1011" t="s">
        <v>717</v>
      </c>
      <c r="I8" s="647"/>
      <c r="J8" s="647"/>
      <c r="K8" s="647"/>
    </row>
    <row r="9" spans="1:11" ht="15.75">
      <c r="A9" s="1012" t="s">
        <v>146</v>
      </c>
      <c r="B9" s="1010"/>
      <c r="C9" s="1010"/>
      <c r="D9" s="1012"/>
      <c r="E9" s="1010"/>
      <c r="F9" s="1010"/>
      <c r="G9" s="647"/>
      <c r="H9" s="1013"/>
      <c r="I9" s="647"/>
      <c r="J9" s="647"/>
      <c r="K9" s="647"/>
    </row>
    <row r="10" spans="1:11" ht="16.5" thickBot="1">
      <c r="A10" s="1147">
        <v>16511590</v>
      </c>
      <c r="B10" s="1014" t="str">
        <f>"-"</f>
        <v>-</v>
      </c>
      <c r="C10" s="1015"/>
      <c r="D10" s="1147">
        <v>15216438</v>
      </c>
      <c r="E10" s="1016"/>
      <c r="F10" s="1017" t="str">
        <f>"="</f>
        <v>=</v>
      </c>
      <c r="G10" s="1018"/>
      <c r="H10" s="1019">
        <f>IF(A10=0,0,D10-A10)</f>
        <v>-1295152</v>
      </c>
      <c r="I10" s="647"/>
      <c r="J10" s="647"/>
      <c r="K10" s="647"/>
    </row>
    <row r="11" spans="1:11" ht="15.75">
      <c r="A11" s="1020"/>
      <c r="B11" s="1021"/>
      <c r="C11" s="1021"/>
      <c r="D11" s="1020"/>
      <c r="E11" s="1020"/>
      <c r="F11" s="1021"/>
      <c r="G11" s="1020"/>
      <c r="H11" s="647"/>
      <c r="I11" s="647"/>
      <c r="J11" s="647"/>
      <c r="K11" s="647"/>
    </row>
    <row r="12" spans="1:11" ht="16.5" thickBot="1">
      <c r="A12" s="1022"/>
      <c r="B12" s="1023"/>
      <c r="C12" s="1023"/>
      <c r="D12" s="1022"/>
      <c r="E12" s="1022"/>
      <c r="F12" s="1023"/>
      <c r="G12" s="1022"/>
      <c r="H12" s="1024"/>
      <c r="I12" s="1024"/>
      <c r="J12" s="1024"/>
      <c r="K12" s="1024"/>
    </row>
    <row r="13" spans="1:11" ht="15.75">
      <c r="A13" s="1025"/>
      <c r="B13" s="1021"/>
      <c r="C13" s="1021"/>
      <c r="D13" s="1020"/>
      <c r="E13" s="1020"/>
      <c r="F13" s="1021"/>
      <c r="G13" s="1020"/>
      <c r="H13" s="647"/>
      <c r="I13" s="647"/>
      <c r="J13" s="647"/>
      <c r="K13" s="647"/>
    </row>
    <row r="14" spans="1:11" ht="47.25">
      <c r="A14" s="1026" t="s">
        <v>718</v>
      </c>
      <c r="B14" s="1021"/>
      <c r="C14" s="1021"/>
      <c r="D14" s="1027" t="s">
        <v>719</v>
      </c>
      <c r="E14" s="1020"/>
      <c r="F14" s="1027" t="s">
        <v>720</v>
      </c>
      <c r="G14" s="1028" t="s">
        <v>721</v>
      </c>
      <c r="H14" s="1029" t="s">
        <v>722</v>
      </c>
      <c r="I14" s="1027" t="s">
        <v>723</v>
      </c>
      <c r="J14" s="1030"/>
      <c r="K14" s="1027" t="s">
        <v>724</v>
      </c>
    </row>
    <row r="15" spans="1:11" ht="15.75">
      <c r="A15" s="1026" t="s">
        <v>725</v>
      </c>
      <c r="B15" s="1021"/>
      <c r="C15" s="1021"/>
      <c r="D15" s="647"/>
      <c r="E15" s="1031"/>
      <c r="F15" s="1148">
        <v>0.0027800000000000004</v>
      </c>
      <c r="H15" s="647"/>
      <c r="I15" s="647"/>
      <c r="J15" s="647"/>
      <c r="K15" s="647"/>
    </row>
    <row r="16" spans="1:11" ht="15.75">
      <c r="A16" s="1026"/>
      <c r="B16" s="1021"/>
      <c r="C16" s="1021"/>
      <c r="D16" s="647"/>
      <c r="E16" s="1031"/>
      <c r="F16" s="1031"/>
      <c r="G16" s="1020"/>
      <c r="H16" s="647"/>
      <c r="I16" s="647"/>
      <c r="J16" s="647"/>
      <c r="K16" s="647"/>
    </row>
    <row r="17" spans="1:11" ht="15.75">
      <c r="A17" s="1026" t="s">
        <v>738</v>
      </c>
      <c r="B17" s="1021"/>
      <c r="C17" s="1021"/>
      <c r="D17" s="647"/>
      <c r="E17" s="1031"/>
      <c r="F17" s="1031"/>
      <c r="G17" s="1020"/>
      <c r="H17" s="647"/>
      <c r="I17" s="647"/>
      <c r="J17" s="647"/>
      <c r="K17" s="647"/>
    </row>
    <row r="18" spans="1:11" ht="15.75">
      <c r="A18" s="1032" t="s">
        <v>146</v>
      </c>
      <c r="B18" s="1021"/>
      <c r="C18" s="1021"/>
      <c r="D18" s="1021"/>
      <c r="E18" s="1021"/>
      <c r="F18" s="1021" t="s">
        <v>146</v>
      </c>
      <c r="G18" s="647"/>
      <c r="H18" s="647"/>
      <c r="I18" s="647"/>
      <c r="J18" s="647"/>
      <c r="K18" s="647"/>
    </row>
    <row r="19" spans="1:11" ht="15.75">
      <c r="A19" s="1033"/>
      <c r="B19" s="1021"/>
      <c r="C19" s="1021"/>
      <c r="D19" s="1021"/>
      <c r="E19" s="1021"/>
      <c r="F19" s="647"/>
      <c r="G19" s="647"/>
      <c r="H19" s="1028"/>
      <c r="I19" s="1021"/>
      <c r="J19" s="1021"/>
      <c r="K19" s="1021"/>
    </row>
    <row r="20" spans="1:11" ht="15.75">
      <c r="A20" s="1033" t="s">
        <v>726</v>
      </c>
      <c r="B20" s="1021"/>
      <c r="C20" s="1021"/>
      <c r="D20" s="1021"/>
      <c r="E20" s="1021"/>
      <c r="F20" s="647"/>
      <c r="G20" s="647"/>
      <c r="H20" s="1028" t="s">
        <v>727</v>
      </c>
      <c r="I20" s="1021"/>
      <c r="J20" s="1021"/>
      <c r="K20" s="1021"/>
    </row>
    <row r="21" spans="1:11" ht="15.75">
      <c r="A21" s="1010" t="s">
        <v>232</v>
      </c>
      <c r="B21" s="1010" t="str">
        <f>"Year "&amp;'KP TCOS'!L2+1&amp;""</f>
        <v>Year 2018</v>
      </c>
      <c r="C21" s="1010"/>
      <c r="D21" s="1034">
        <f>H10/12</f>
        <v>-107929.33333333333</v>
      </c>
      <c r="E21" s="1034"/>
      <c r="F21" s="1035">
        <f>+F15</f>
        <v>0.0027800000000000004</v>
      </c>
      <c r="G21" s="1036">
        <v>12</v>
      </c>
      <c r="H21" s="1034">
        <f>F21*D21*G21*-1</f>
        <v>3600.5225600000003</v>
      </c>
      <c r="I21" s="1034"/>
      <c r="J21" s="1034"/>
      <c r="K21" s="1034">
        <f>(-H21+D21)*-1</f>
        <v>111529.85589333333</v>
      </c>
    </row>
    <row r="22" spans="1:11" ht="15.75">
      <c r="A22" s="1010" t="s">
        <v>728</v>
      </c>
      <c r="B22" s="1010" t="str">
        <f>B21</f>
        <v>Year 2018</v>
      </c>
      <c r="C22" s="1010"/>
      <c r="D22" s="1034">
        <f>+D21</f>
        <v>-107929.33333333333</v>
      </c>
      <c r="E22" s="1034"/>
      <c r="F22" s="1035">
        <f>+F21</f>
        <v>0.0027800000000000004</v>
      </c>
      <c r="G22" s="1036">
        <f aca="true" t="shared" si="0" ref="G22:G32">+G21-1</f>
        <v>11</v>
      </c>
      <c r="H22" s="1034">
        <f aca="true" t="shared" si="1" ref="H22:H32">F22*D22*G22*-1</f>
        <v>3300.479013333334</v>
      </c>
      <c r="I22" s="1034"/>
      <c r="J22" s="1034"/>
      <c r="K22" s="1034">
        <f aca="true" t="shared" si="2" ref="K22:K32">(-H22+D22)*-1</f>
        <v>111229.81234666666</v>
      </c>
    </row>
    <row r="23" spans="1:11" ht="15.75">
      <c r="A23" s="1010" t="s">
        <v>233</v>
      </c>
      <c r="B23" s="1010" t="str">
        <f aca="true" t="shared" si="3" ref="B23:B32">B22</f>
        <v>Year 2018</v>
      </c>
      <c r="C23" s="1010"/>
      <c r="D23" s="1034">
        <f aca="true" t="shared" si="4" ref="D23:D32">+D22</f>
        <v>-107929.33333333333</v>
      </c>
      <c r="E23" s="1034"/>
      <c r="F23" s="1035">
        <f aca="true" t="shared" si="5" ref="F23:F32">+F22</f>
        <v>0.0027800000000000004</v>
      </c>
      <c r="G23" s="1036">
        <f t="shared" si="0"/>
        <v>10</v>
      </c>
      <c r="H23" s="1034">
        <f t="shared" si="1"/>
        <v>3000.4354666666673</v>
      </c>
      <c r="I23" s="1034"/>
      <c r="J23" s="1034"/>
      <c r="K23" s="1034">
        <f t="shared" si="2"/>
        <v>110929.76879999999</v>
      </c>
    </row>
    <row r="24" spans="1:11" ht="15.75">
      <c r="A24" s="1010" t="s">
        <v>234</v>
      </c>
      <c r="B24" s="1010" t="str">
        <f t="shared" si="3"/>
        <v>Year 2018</v>
      </c>
      <c r="C24" s="1010"/>
      <c r="D24" s="1034">
        <f t="shared" si="4"/>
        <v>-107929.33333333333</v>
      </c>
      <c r="E24" s="1034"/>
      <c r="F24" s="1035">
        <f t="shared" si="5"/>
        <v>0.0027800000000000004</v>
      </c>
      <c r="G24" s="1036">
        <f t="shared" si="0"/>
        <v>9</v>
      </c>
      <c r="H24" s="1034">
        <f t="shared" si="1"/>
        <v>2700.3919200000005</v>
      </c>
      <c r="I24" s="1034"/>
      <c r="J24" s="1034"/>
      <c r="K24" s="1034">
        <f t="shared" si="2"/>
        <v>110629.72525333332</v>
      </c>
    </row>
    <row r="25" spans="1:11" ht="15.75">
      <c r="A25" s="1010" t="s">
        <v>235</v>
      </c>
      <c r="B25" s="1010" t="str">
        <f t="shared" si="3"/>
        <v>Year 2018</v>
      </c>
      <c r="C25" s="1010"/>
      <c r="D25" s="1034">
        <f t="shared" si="4"/>
        <v>-107929.33333333333</v>
      </c>
      <c r="E25" s="1034"/>
      <c r="F25" s="1035">
        <f t="shared" si="5"/>
        <v>0.0027800000000000004</v>
      </c>
      <c r="G25" s="1036">
        <f t="shared" si="0"/>
        <v>8</v>
      </c>
      <c r="H25" s="1034">
        <f t="shared" si="1"/>
        <v>2400.3483733333337</v>
      </c>
      <c r="I25" s="1034"/>
      <c r="J25" s="1034"/>
      <c r="K25" s="1034">
        <f t="shared" si="2"/>
        <v>110329.68170666666</v>
      </c>
    </row>
    <row r="26" spans="1:11" ht="15.75">
      <c r="A26" s="1010" t="s">
        <v>484</v>
      </c>
      <c r="B26" s="1010" t="str">
        <f t="shared" si="3"/>
        <v>Year 2018</v>
      </c>
      <c r="C26" s="1010"/>
      <c r="D26" s="1034">
        <f t="shared" si="4"/>
        <v>-107929.33333333333</v>
      </c>
      <c r="E26" s="1034"/>
      <c r="F26" s="1035">
        <f t="shared" si="5"/>
        <v>0.0027800000000000004</v>
      </c>
      <c r="G26" s="1036">
        <f t="shared" si="0"/>
        <v>7</v>
      </c>
      <c r="H26" s="1034">
        <f t="shared" si="1"/>
        <v>2100.304826666667</v>
      </c>
      <c r="I26" s="1034"/>
      <c r="J26" s="1034"/>
      <c r="K26" s="1034">
        <f t="shared" si="2"/>
        <v>110029.63816</v>
      </c>
    </row>
    <row r="27" spans="1:11" ht="15.75">
      <c r="A27" s="1010" t="s">
        <v>236</v>
      </c>
      <c r="B27" s="1010" t="str">
        <f t="shared" si="3"/>
        <v>Year 2018</v>
      </c>
      <c r="C27" s="1010"/>
      <c r="D27" s="1034">
        <f t="shared" si="4"/>
        <v>-107929.33333333333</v>
      </c>
      <c r="E27" s="1034"/>
      <c r="F27" s="1035">
        <f t="shared" si="5"/>
        <v>0.0027800000000000004</v>
      </c>
      <c r="G27" s="1036">
        <f t="shared" si="0"/>
        <v>6</v>
      </c>
      <c r="H27" s="1034">
        <f t="shared" si="1"/>
        <v>1800.2612800000002</v>
      </c>
      <c r="I27" s="1034"/>
      <c r="J27" s="1034"/>
      <c r="K27" s="1034">
        <f t="shared" si="2"/>
        <v>109729.59461333333</v>
      </c>
    </row>
    <row r="28" spans="1:11" ht="15.75">
      <c r="A28" s="1010" t="s">
        <v>237</v>
      </c>
      <c r="B28" s="1010" t="str">
        <f t="shared" si="3"/>
        <v>Year 2018</v>
      </c>
      <c r="C28" s="1010"/>
      <c r="D28" s="1034">
        <f t="shared" si="4"/>
        <v>-107929.33333333333</v>
      </c>
      <c r="E28" s="1034"/>
      <c r="F28" s="1035">
        <f t="shared" si="5"/>
        <v>0.0027800000000000004</v>
      </c>
      <c r="G28" s="1036">
        <f t="shared" si="0"/>
        <v>5</v>
      </c>
      <c r="H28" s="1034">
        <f t="shared" si="1"/>
        <v>1500.2177333333336</v>
      </c>
      <c r="I28" s="1034"/>
      <c r="J28" s="1034"/>
      <c r="K28" s="1034">
        <f t="shared" si="2"/>
        <v>109429.55106666667</v>
      </c>
    </row>
    <row r="29" spans="1:11" ht="15.75">
      <c r="A29" s="1010" t="s">
        <v>239</v>
      </c>
      <c r="B29" s="1010" t="str">
        <f t="shared" si="3"/>
        <v>Year 2018</v>
      </c>
      <c r="C29" s="1010"/>
      <c r="D29" s="1034">
        <f t="shared" si="4"/>
        <v>-107929.33333333333</v>
      </c>
      <c r="E29" s="1034"/>
      <c r="F29" s="1035">
        <f t="shared" si="5"/>
        <v>0.0027800000000000004</v>
      </c>
      <c r="G29" s="1036">
        <f t="shared" si="0"/>
        <v>4</v>
      </c>
      <c r="H29" s="1034">
        <f t="shared" si="1"/>
        <v>1200.1741866666669</v>
      </c>
      <c r="I29" s="1034"/>
      <c r="J29" s="1034"/>
      <c r="K29" s="1034">
        <f t="shared" si="2"/>
        <v>109129.50752</v>
      </c>
    </row>
    <row r="30" spans="1:11" ht="15.75">
      <c r="A30" s="1010" t="s">
        <v>729</v>
      </c>
      <c r="B30" s="1010" t="str">
        <f t="shared" si="3"/>
        <v>Year 2018</v>
      </c>
      <c r="C30" s="1010"/>
      <c r="D30" s="1034">
        <f t="shared" si="4"/>
        <v>-107929.33333333333</v>
      </c>
      <c r="E30" s="1034"/>
      <c r="F30" s="1035">
        <f t="shared" si="5"/>
        <v>0.0027800000000000004</v>
      </c>
      <c r="G30" s="1036">
        <f t="shared" si="0"/>
        <v>3</v>
      </c>
      <c r="H30" s="1034">
        <f t="shared" si="1"/>
        <v>900.1306400000001</v>
      </c>
      <c r="I30" s="1034"/>
      <c r="J30" s="1034"/>
      <c r="K30" s="1034">
        <f t="shared" si="2"/>
        <v>108829.46397333333</v>
      </c>
    </row>
    <row r="31" spans="1:11" ht="15.75">
      <c r="A31" s="1010" t="s">
        <v>730</v>
      </c>
      <c r="B31" s="1010" t="str">
        <f t="shared" si="3"/>
        <v>Year 2018</v>
      </c>
      <c r="C31" s="1010"/>
      <c r="D31" s="1034">
        <f t="shared" si="4"/>
        <v>-107929.33333333333</v>
      </c>
      <c r="E31" s="1034"/>
      <c r="F31" s="1035">
        <f t="shared" si="5"/>
        <v>0.0027800000000000004</v>
      </c>
      <c r="G31" s="1036">
        <f t="shared" si="0"/>
        <v>2</v>
      </c>
      <c r="H31" s="1034">
        <f t="shared" si="1"/>
        <v>600.0870933333334</v>
      </c>
      <c r="I31" s="1034"/>
      <c r="J31" s="1034"/>
      <c r="K31" s="1034">
        <f t="shared" si="2"/>
        <v>108529.42042666666</v>
      </c>
    </row>
    <row r="32" spans="1:11" ht="15.75">
      <c r="A32" s="1010" t="s">
        <v>238</v>
      </c>
      <c r="B32" s="1010" t="str">
        <f t="shared" si="3"/>
        <v>Year 2018</v>
      </c>
      <c r="C32" s="1010"/>
      <c r="D32" s="1034">
        <f t="shared" si="4"/>
        <v>-107929.33333333333</v>
      </c>
      <c r="E32" s="1034"/>
      <c r="F32" s="1035">
        <f t="shared" si="5"/>
        <v>0.0027800000000000004</v>
      </c>
      <c r="G32" s="1036">
        <f t="shared" si="0"/>
        <v>1</v>
      </c>
      <c r="H32" s="1037">
        <f t="shared" si="1"/>
        <v>300.0435466666667</v>
      </c>
      <c r="I32" s="1034"/>
      <c r="J32" s="1034"/>
      <c r="K32" s="1034">
        <f t="shared" si="2"/>
        <v>108229.37688</v>
      </c>
    </row>
    <row r="33" spans="1:11" ht="15.75">
      <c r="A33" s="1010"/>
      <c r="B33" s="1010"/>
      <c r="C33" s="1010"/>
      <c r="D33" s="1034"/>
      <c r="E33" s="1034"/>
      <c r="F33" s="1035"/>
      <c r="G33" s="1010"/>
      <c r="H33" s="1034">
        <f>SUM(H21:H32)</f>
        <v>23403.396640000003</v>
      </c>
      <c r="I33" s="1034"/>
      <c r="J33" s="1034"/>
      <c r="K33" s="1038">
        <f>SUM(K21:K32)</f>
        <v>1318555.39664</v>
      </c>
    </row>
    <row r="34" spans="1:11" ht="15.75">
      <c r="A34" s="1010"/>
      <c r="B34" s="1010"/>
      <c r="C34" s="1010"/>
      <c r="D34" s="1034"/>
      <c r="E34" s="1034"/>
      <c r="F34" s="1035"/>
      <c r="G34" s="1010"/>
      <c r="H34" s="1034"/>
      <c r="I34" s="1034" t="s">
        <v>146</v>
      </c>
      <c r="J34" s="1034"/>
      <c r="K34" s="647"/>
    </row>
    <row r="35" spans="1:11" ht="15.75">
      <c r="A35" s="1010"/>
      <c r="B35" s="1010"/>
      <c r="C35" s="1010"/>
      <c r="D35" s="1020"/>
      <c r="E35" s="1020"/>
      <c r="F35" s="1035"/>
      <c r="G35" s="1010"/>
      <c r="H35" s="1039" t="s">
        <v>731</v>
      </c>
      <c r="I35" s="1034"/>
      <c r="J35" s="1034"/>
      <c r="K35" s="1034"/>
    </row>
    <row r="36" spans="1:11" ht="15.75">
      <c r="A36" s="1010" t="s">
        <v>732</v>
      </c>
      <c r="B36" s="1010" t="str">
        <f>"Year "&amp;'KP TCOS'!L2+2&amp;""</f>
        <v>Year 2019</v>
      </c>
      <c r="C36" s="1010"/>
      <c r="D36" s="1020">
        <f>K33</f>
        <v>1318555.39664</v>
      </c>
      <c r="E36" s="1020"/>
      <c r="F36" s="1035">
        <f>+F32</f>
        <v>0.0027800000000000004</v>
      </c>
      <c r="G36" s="1036">
        <v>12</v>
      </c>
      <c r="H36" s="1034">
        <f>+G36*F36*D36</f>
        <v>43987.0080319104</v>
      </c>
      <c r="I36" s="1034"/>
      <c r="J36" s="1034"/>
      <c r="K36" s="1038">
        <f>+D36+H36</f>
        <v>1362542.4046719102</v>
      </c>
    </row>
    <row r="37" spans="1:11" ht="15.75">
      <c r="A37" s="1010"/>
      <c r="B37" s="1010"/>
      <c r="C37" s="1010"/>
      <c r="D37" s="1020"/>
      <c r="E37" s="1020"/>
      <c r="F37" s="1035"/>
      <c r="G37" s="1010"/>
      <c r="H37" s="1034"/>
      <c r="I37" s="1034"/>
      <c r="J37" s="1034"/>
      <c r="K37" s="1034"/>
    </row>
    <row r="38" spans="1:11" ht="15.75">
      <c r="A38" s="1040" t="s">
        <v>733</v>
      </c>
      <c r="B38" s="1010"/>
      <c r="C38" s="1010"/>
      <c r="D38" s="1034"/>
      <c r="E38" s="1034"/>
      <c r="F38" s="1035"/>
      <c r="G38" s="1010"/>
      <c r="H38" s="1039" t="s">
        <v>727</v>
      </c>
      <c r="I38" s="1034"/>
      <c r="J38" s="1034"/>
      <c r="K38" s="1034"/>
    </row>
    <row r="39" spans="1:11" ht="15.75">
      <c r="A39" s="1010" t="s">
        <v>232</v>
      </c>
      <c r="B39" s="1010" t="str">
        <f>"Year "&amp;'KP TCOS'!L2+3&amp;""</f>
        <v>Year 2020</v>
      </c>
      <c r="C39" s="1010"/>
      <c r="D39" s="1041">
        <f>-K36</f>
        <v>-1362542.4046719102</v>
      </c>
      <c r="E39" s="1020"/>
      <c r="F39" s="1035">
        <f>+F32</f>
        <v>0.0027800000000000004</v>
      </c>
      <c r="G39" s="1010"/>
      <c r="H39" s="1034">
        <f>-F39*D39</f>
        <v>3787.867884987911</v>
      </c>
      <c r="I39" s="1034">
        <f>PMT(F39,12,K$36)</f>
        <v>-115607.40460314679</v>
      </c>
      <c r="J39" s="1034"/>
      <c r="K39" s="1034">
        <f>(+D39+D39*F39-I39)*-1</f>
        <v>1250722.8679537515</v>
      </c>
    </row>
    <row r="40" spans="1:11" ht="15.75">
      <c r="A40" s="1010" t="s">
        <v>728</v>
      </c>
      <c r="B40" s="1010" t="str">
        <f>+B39</f>
        <v>Year 2020</v>
      </c>
      <c r="C40" s="1010"/>
      <c r="D40" s="1020">
        <f>-K39</f>
        <v>-1250722.8679537515</v>
      </c>
      <c r="E40" s="1020"/>
      <c r="F40" s="1035">
        <f>+F39</f>
        <v>0.0027800000000000004</v>
      </c>
      <c r="G40" s="1010"/>
      <c r="H40" s="1034">
        <f>-F40*D40</f>
        <v>3477.0095729114296</v>
      </c>
      <c r="I40" s="1034">
        <f>I39</f>
        <v>-115607.40460314679</v>
      </c>
      <c r="J40" s="1034"/>
      <c r="K40" s="1034">
        <f aca="true" t="shared" si="6" ref="K40:K50">(+D40+D40*F40-I40)*-1</f>
        <v>1138592.4729235163</v>
      </c>
    </row>
    <row r="41" spans="1:11" ht="15.75">
      <c r="A41" s="1010" t="s">
        <v>233</v>
      </c>
      <c r="B41" s="1010" t="str">
        <f>+B40</f>
        <v>Year 2020</v>
      </c>
      <c r="C41" s="1010"/>
      <c r="D41" s="1020">
        <f aca="true" t="shared" si="7" ref="D41:D50">-K40</f>
        <v>-1138592.4729235163</v>
      </c>
      <c r="E41" s="1020"/>
      <c r="F41" s="1035">
        <f aca="true" t="shared" si="8" ref="F41:F50">+F40</f>
        <v>0.0027800000000000004</v>
      </c>
      <c r="G41" s="1010"/>
      <c r="H41" s="1034">
        <f aca="true" t="shared" si="9" ref="H41:H50">-F41*D41</f>
        <v>3165.2870747273755</v>
      </c>
      <c r="I41" s="1034">
        <f aca="true" t="shared" si="10" ref="I41:I50">I40</f>
        <v>-115607.40460314679</v>
      </c>
      <c r="J41" s="1034"/>
      <c r="K41" s="1034">
        <f t="shared" si="6"/>
        <v>1026150.3553950969</v>
      </c>
    </row>
    <row r="42" spans="1:11" ht="15.75">
      <c r="A42" s="1010" t="s">
        <v>234</v>
      </c>
      <c r="B42" s="1010" t="str">
        <f>+B41</f>
        <v>Year 2020</v>
      </c>
      <c r="C42" s="1010"/>
      <c r="D42" s="1020">
        <f t="shared" si="7"/>
        <v>-1026150.3553950969</v>
      </c>
      <c r="E42" s="1020"/>
      <c r="F42" s="1035">
        <f t="shared" si="8"/>
        <v>0.0027800000000000004</v>
      </c>
      <c r="G42" s="1010"/>
      <c r="H42" s="1034">
        <f t="shared" si="9"/>
        <v>2852.6979879983696</v>
      </c>
      <c r="I42" s="1034">
        <f t="shared" si="10"/>
        <v>-115607.40460314679</v>
      </c>
      <c r="J42" s="1034"/>
      <c r="K42" s="1034">
        <f t="shared" si="6"/>
        <v>913395.6487799485</v>
      </c>
    </row>
    <row r="43" spans="1:11" ht="15.75">
      <c r="A43" s="1010" t="s">
        <v>235</v>
      </c>
      <c r="B43" s="1010" t="str">
        <f>+B42</f>
        <v>Year 2020</v>
      </c>
      <c r="C43" s="1010"/>
      <c r="D43" s="1020">
        <f t="shared" si="7"/>
        <v>-913395.6487799485</v>
      </c>
      <c r="E43" s="1020"/>
      <c r="F43" s="1035">
        <f t="shared" si="8"/>
        <v>0.0027800000000000004</v>
      </c>
      <c r="G43" s="1010"/>
      <c r="H43" s="1034">
        <f t="shared" si="9"/>
        <v>2539.239903608257</v>
      </c>
      <c r="I43" s="1034">
        <f>I42</f>
        <v>-115607.40460314679</v>
      </c>
      <c r="J43" s="1034"/>
      <c r="K43" s="1034">
        <f t="shared" si="6"/>
        <v>800327.4840804099</v>
      </c>
    </row>
    <row r="44" spans="1:11" ht="15.75">
      <c r="A44" s="1010" t="s">
        <v>484</v>
      </c>
      <c r="B44" s="1010" t="str">
        <f>B43</f>
        <v>Year 2020</v>
      </c>
      <c r="C44" s="647"/>
      <c r="D44" s="1020">
        <f t="shared" si="7"/>
        <v>-800327.4840804099</v>
      </c>
      <c r="E44" s="1020"/>
      <c r="F44" s="1035">
        <f t="shared" si="8"/>
        <v>0.0027800000000000004</v>
      </c>
      <c r="G44" s="1010"/>
      <c r="H44" s="1034">
        <f t="shared" si="9"/>
        <v>2224.9104057435397</v>
      </c>
      <c r="I44" s="1034">
        <f t="shared" si="10"/>
        <v>-115607.40460314679</v>
      </c>
      <c r="J44" s="1034"/>
      <c r="K44" s="1034">
        <f t="shared" si="6"/>
        <v>686944.9898830066</v>
      </c>
    </row>
    <row r="45" spans="1:11" ht="15.75">
      <c r="A45" s="1010" t="s">
        <v>236</v>
      </c>
      <c r="B45" s="1010" t="str">
        <f aca="true" t="shared" si="11" ref="B45:B50">+B44</f>
        <v>Year 2020</v>
      </c>
      <c r="C45" s="1010"/>
      <c r="D45" s="1020">
        <f t="shared" si="7"/>
        <v>-686944.9898830066</v>
      </c>
      <c r="E45" s="1020"/>
      <c r="F45" s="1035">
        <f t="shared" si="8"/>
        <v>0.0027800000000000004</v>
      </c>
      <c r="G45" s="1010"/>
      <c r="H45" s="1034">
        <f t="shared" si="9"/>
        <v>1909.7070718747584</v>
      </c>
      <c r="I45" s="1034">
        <f t="shared" si="10"/>
        <v>-115607.40460314679</v>
      </c>
      <c r="J45" s="1034"/>
      <c r="K45" s="1034">
        <f t="shared" si="6"/>
        <v>573247.2923517345</v>
      </c>
    </row>
    <row r="46" spans="1:11" ht="15.75">
      <c r="A46" s="1010" t="s">
        <v>237</v>
      </c>
      <c r="B46" s="1010" t="str">
        <f t="shared" si="11"/>
        <v>Year 2020</v>
      </c>
      <c r="C46" s="1010"/>
      <c r="D46" s="1020">
        <f t="shared" si="7"/>
        <v>-573247.2923517345</v>
      </c>
      <c r="E46" s="1020"/>
      <c r="F46" s="1035">
        <f t="shared" si="8"/>
        <v>0.0027800000000000004</v>
      </c>
      <c r="G46" s="1010"/>
      <c r="H46" s="1034">
        <f t="shared" si="9"/>
        <v>1593.627472737822</v>
      </c>
      <c r="I46" s="1034">
        <f t="shared" si="10"/>
        <v>-115607.40460314679</v>
      </c>
      <c r="J46" s="1034"/>
      <c r="K46" s="1034">
        <f t="shared" si="6"/>
        <v>459233.5152213255</v>
      </c>
    </row>
    <row r="47" spans="1:11" ht="15.75">
      <c r="A47" s="1010" t="s">
        <v>239</v>
      </c>
      <c r="B47" s="1010" t="str">
        <f t="shared" si="11"/>
        <v>Year 2020</v>
      </c>
      <c r="C47" s="1010"/>
      <c r="D47" s="1020">
        <f t="shared" si="7"/>
        <v>-459233.5152213255</v>
      </c>
      <c r="E47" s="1020"/>
      <c r="F47" s="1035">
        <f t="shared" si="8"/>
        <v>0.0027800000000000004</v>
      </c>
      <c r="G47" s="1010"/>
      <c r="H47" s="1034">
        <f t="shared" si="9"/>
        <v>1276.669172315285</v>
      </c>
      <c r="I47" s="1034">
        <f>I46</f>
        <v>-115607.40460314679</v>
      </c>
      <c r="J47" s="1034"/>
      <c r="K47" s="1034">
        <f t="shared" si="6"/>
        <v>344902.779790494</v>
      </c>
    </row>
    <row r="48" spans="1:11" ht="15.75">
      <c r="A48" s="1010" t="s">
        <v>729</v>
      </c>
      <c r="B48" s="1010" t="str">
        <f t="shared" si="11"/>
        <v>Year 2020</v>
      </c>
      <c r="C48" s="1010"/>
      <c r="D48" s="1020">
        <f t="shared" si="7"/>
        <v>-344902.779790494</v>
      </c>
      <c r="E48" s="1020"/>
      <c r="F48" s="1035">
        <f t="shared" si="8"/>
        <v>0.0027800000000000004</v>
      </c>
      <c r="G48" s="1010"/>
      <c r="H48" s="1034">
        <f t="shared" si="9"/>
        <v>958.8297278175735</v>
      </c>
      <c r="I48" s="1034">
        <f t="shared" si="10"/>
        <v>-115607.40460314679</v>
      </c>
      <c r="J48" s="1034"/>
      <c r="K48" s="1034">
        <f t="shared" si="6"/>
        <v>230254.2049151648</v>
      </c>
    </row>
    <row r="49" spans="1:11" ht="15.75">
      <c r="A49" s="1010" t="s">
        <v>730</v>
      </c>
      <c r="B49" s="1010" t="str">
        <f t="shared" si="11"/>
        <v>Year 2020</v>
      </c>
      <c r="C49" s="1010"/>
      <c r="D49" s="1020">
        <f t="shared" si="7"/>
        <v>-230254.2049151648</v>
      </c>
      <c r="E49" s="1020"/>
      <c r="F49" s="1035">
        <f t="shared" si="8"/>
        <v>0.0027800000000000004</v>
      </c>
      <c r="G49" s="1010"/>
      <c r="H49" s="1034">
        <f t="shared" si="9"/>
        <v>640.1066896641582</v>
      </c>
      <c r="I49" s="1034">
        <f t="shared" si="10"/>
        <v>-115607.40460314679</v>
      </c>
      <c r="J49" s="1034"/>
      <c r="K49" s="1034">
        <f t="shared" si="6"/>
        <v>115286.90700168216</v>
      </c>
    </row>
    <row r="50" spans="1:11" ht="15.75">
      <c r="A50" s="1010" t="s">
        <v>238</v>
      </c>
      <c r="B50" s="1010" t="str">
        <f t="shared" si="11"/>
        <v>Year 2020</v>
      </c>
      <c r="C50" s="1010"/>
      <c r="D50" s="1020">
        <f t="shared" si="7"/>
        <v>-115286.90700168216</v>
      </c>
      <c r="E50" s="1020"/>
      <c r="F50" s="1035">
        <f t="shared" si="8"/>
        <v>0.0027800000000000004</v>
      </c>
      <c r="G50" s="1010"/>
      <c r="H50" s="1037">
        <f t="shared" si="9"/>
        <v>320.49760146467645</v>
      </c>
      <c r="I50" s="1034">
        <f t="shared" si="10"/>
        <v>-115607.40460314679</v>
      </c>
      <c r="J50" s="1034"/>
      <c r="K50" s="1034">
        <f t="shared" si="6"/>
        <v>5.820766091346741E-11</v>
      </c>
    </row>
    <row r="51" spans="1:11" ht="15.75">
      <c r="A51" s="1010"/>
      <c r="B51" s="1010"/>
      <c r="C51" s="1010"/>
      <c r="D51" s="1020"/>
      <c r="E51" s="1020"/>
      <c r="F51" s="1035"/>
      <c r="G51" s="1010"/>
      <c r="H51" s="1034">
        <f>SUM(H39:H50)</f>
        <v>24746.45056585116</v>
      </c>
      <c r="I51" s="1034"/>
      <c r="J51" s="1034"/>
      <c r="K51" s="1034"/>
    </row>
    <row r="52" spans="1:11" ht="15">
      <c r="A52" s="647"/>
      <c r="B52" s="647"/>
      <c r="C52" s="647"/>
      <c r="D52" s="647"/>
      <c r="E52" s="647"/>
      <c r="F52" s="647"/>
      <c r="G52" s="647"/>
      <c r="H52" s="647"/>
      <c r="I52" s="1042"/>
      <c r="J52" s="647"/>
      <c r="K52" s="647"/>
    </row>
    <row r="53" spans="1:11" ht="15.75">
      <c r="A53" s="1010" t="s">
        <v>739</v>
      </c>
      <c r="B53" s="647"/>
      <c r="C53" s="647"/>
      <c r="D53" s="647"/>
      <c r="E53" s="647"/>
      <c r="F53" s="647"/>
      <c r="G53" s="647"/>
      <c r="H53" s="647"/>
      <c r="I53" s="1043">
        <f>(SUM(I39:I50)*-1)</f>
        <v>1387288.8552377615</v>
      </c>
      <c r="J53" s="647"/>
      <c r="K53" s="647"/>
    </row>
    <row r="54" spans="1:11" ht="15.75">
      <c r="A54" s="1010" t="s">
        <v>734</v>
      </c>
      <c r="B54" s="647"/>
      <c r="C54" s="647"/>
      <c r="D54" s="647"/>
      <c r="E54" s="647"/>
      <c r="F54" s="647"/>
      <c r="G54" s="647"/>
      <c r="H54" s="647"/>
      <c r="I54" s="1044">
        <f>+H10</f>
        <v>-1295152</v>
      </c>
      <c r="J54" s="647"/>
      <c r="K54" s="647"/>
    </row>
    <row r="55" spans="1:11" ht="15.75">
      <c r="A55" s="1010" t="s">
        <v>735</v>
      </c>
      <c r="B55" s="647"/>
      <c r="C55" s="647"/>
      <c r="D55" s="647"/>
      <c r="E55" s="647"/>
      <c r="F55" s="647"/>
      <c r="G55" s="647"/>
      <c r="H55" s="647"/>
      <c r="I55" s="1043">
        <f>(I53+I54)</f>
        <v>92136.85523776151</v>
      </c>
      <c r="J55" s="647"/>
      <c r="K55" s="647"/>
    </row>
    <row r="56" spans="1:11" ht="12.75">
      <c r="A56" s="534"/>
      <c r="B56" s="534"/>
      <c r="C56" s="534"/>
      <c r="D56" s="534"/>
      <c r="E56" s="534"/>
      <c r="F56" s="534"/>
      <c r="G56" s="534"/>
      <c r="H56" s="534"/>
      <c r="I56" s="534"/>
      <c r="J56" s="534"/>
      <c r="K56" s="534"/>
    </row>
    <row r="57" spans="1:11" ht="78.75" customHeight="1">
      <c r="A57" s="1262" t="s">
        <v>740</v>
      </c>
      <c r="B57" s="1262"/>
      <c r="C57" s="1262"/>
      <c r="D57" s="1262"/>
      <c r="E57" s="1045"/>
      <c r="F57" s="1045"/>
      <c r="G57" s="1045"/>
      <c r="H57" s="1045"/>
      <c r="I57" s="1045"/>
      <c r="J57" s="1045"/>
      <c r="K57" s="1045"/>
    </row>
    <row r="58" spans="1:11" ht="13.5">
      <c r="A58" s="1046"/>
      <c r="B58" s="534"/>
      <c r="C58" s="534"/>
      <c r="D58" s="534"/>
      <c r="E58" s="534"/>
      <c r="F58" s="1047"/>
      <c r="G58" s="534"/>
      <c r="H58" s="534"/>
      <c r="I58" s="1048"/>
      <c r="J58" s="534"/>
      <c r="K58" s="534"/>
    </row>
    <row r="59" spans="1:11" ht="15.75">
      <c r="A59" s="1049"/>
      <c r="B59" s="1050"/>
      <c r="C59" s="1051"/>
      <c r="D59" s="1051"/>
      <c r="E59" s="1051"/>
      <c r="F59" s="1051"/>
      <c r="G59" s="1051"/>
      <c r="H59" s="1051"/>
      <c r="I59" s="1052"/>
      <c r="J59" s="1051"/>
      <c r="K59" s="1051"/>
    </row>
  </sheetData>
  <sheetProtection password="CA99" sheet="1" objects="1" scenarios="1"/>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40">
      <selection activeCell="E26" sqref="E26"/>
    </sheetView>
  </sheetViews>
  <sheetFormatPr defaultColWidth="11.421875" defaultRowHeight="12.75"/>
  <cols>
    <col min="1" max="1" width="9.00390625" style="76" customWidth="1"/>
    <col min="2" max="2" width="4.28125" style="77" customWidth="1"/>
    <col min="3" max="3" width="45.57421875" style="77" customWidth="1"/>
    <col min="4" max="4" width="43.140625" style="77" customWidth="1"/>
    <col min="5" max="5" width="21.28125" style="77" customWidth="1"/>
    <col min="6" max="6" width="22.140625" style="77" customWidth="1"/>
    <col min="7" max="7" width="18.8515625" style="77" customWidth="1"/>
    <col min="8" max="8" width="12.28125" style="77" customWidth="1"/>
    <col min="9" max="9" width="12.28125" style="89" customWidth="1"/>
    <col min="10" max="10" width="16.7109375" style="77" customWidth="1"/>
    <col min="11" max="11" width="13.7109375" style="77" customWidth="1"/>
    <col min="12" max="12" width="11.57421875" style="77" customWidth="1"/>
    <col min="13" max="14" width="13.421875" style="77" customWidth="1"/>
    <col min="15" max="15" width="13.7109375" style="77" customWidth="1"/>
    <col min="16" max="16384" width="11.421875" style="77" customWidth="1"/>
  </cols>
  <sheetData>
    <row r="1" spans="1:10" ht="15">
      <c r="A1" s="1203" t="s">
        <v>491</v>
      </c>
      <c r="B1" s="1203"/>
      <c r="C1" s="1203"/>
      <c r="D1" s="1203"/>
      <c r="E1" s="1203"/>
      <c r="F1" s="1203"/>
      <c r="G1" s="1203"/>
      <c r="H1" s="41"/>
      <c r="I1"/>
      <c r="J1"/>
    </row>
    <row r="2" spans="1:9" ht="15">
      <c r="A2" s="1202" t="str">
        <f>"Cost of Service Formula Rate Using Actual/Projected FF1 Balances"</f>
        <v>Cost of Service Formula Rate Using Actual/Projected FF1 Balances</v>
      </c>
      <c r="B2" s="1202"/>
      <c r="C2" s="1202"/>
      <c r="D2" s="1202"/>
      <c r="E2" s="1202"/>
      <c r="F2" s="1202"/>
      <c r="G2" s="1202"/>
      <c r="H2" s="163"/>
      <c r="I2" s="77"/>
    </row>
    <row r="3" spans="1:9" ht="15">
      <c r="A3" s="1202" t="s">
        <v>636</v>
      </c>
      <c r="B3" s="1202"/>
      <c r="C3" s="1202"/>
      <c r="D3" s="1202"/>
      <c r="E3" s="1202"/>
      <c r="F3" s="1202"/>
      <c r="G3" s="1202"/>
      <c r="H3" s="115"/>
      <c r="I3" s="77"/>
    </row>
    <row r="4" spans="1:9" ht="15">
      <c r="A4" s="1204" t="str">
        <f>+'KP TCOS'!F7</f>
        <v>KENTUCKY POWER COMPANY</v>
      </c>
      <c r="B4" s="1204"/>
      <c r="C4" s="1204"/>
      <c r="D4" s="1204"/>
      <c r="E4" s="1204"/>
      <c r="F4" s="1204"/>
      <c r="G4" s="1204"/>
      <c r="H4" s="164"/>
      <c r="I4" s="77"/>
    </row>
    <row r="5" spans="1:9" ht="15">
      <c r="A5" s="164"/>
      <c r="B5" s="164"/>
      <c r="C5" s="164"/>
      <c r="E5" s="230"/>
      <c r="F5" s="230"/>
      <c r="G5" s="230"/>
      <c r="H5" s="230"/>
      <c r="I5" s="230"/>
    </row>
    <row r="6" spans="3:9" ht="12.75">
      <c r="C6" s="101" t="s">
        <v>194</v>
      </c>
      <c r="D6" s="101" t="s">
        <v>195</v>
      </c>
      <c r="E6" s="101" t="s">
        <v>196</v>
      </c>
      <c r="F6" s="101" t="s">
        <v>197</v>
      </c>
      <c r="G6" s="101" t="s">
        <v>115</v>
      </c>
      <c r="H6" s="101"/>
      <c r="I6" s="102"/>
    </row>
    <row r="7" spans="1:9" ht="12.75" customHeight="1">
      <c r="A7" s="13" t="s">
        <v>201</v>
      </c>
      <c r="C7" s="101"/>
      <c r="D7" s="101"/>
      <c r="E7" s="1205" t="str">
        <f>"Balance @ December 31, "&amp;'KP TCOS'!L2&amp;""</f>
        <v>Balance @ December 31, 2017</v>
      </c>
      <c r="F7" s="1200" t="str">
        <f>"Balance @ December 31, "&amp;'KP TCOS'!L2-1&amp;""</f>
        <v>Balance @ December 31, 2016</v>
      </c>
      <c r="G7" s="1200" t="str">
        <f>"Average Balance for "&amp;'KP TCOS'!L2&amp;""</f>
        <v>Average Balance for 2017</v>
      </c>
      <c r="H7" s="101"/>
      <c r="I7" s="102"/>
    </row>
    <row r="8" spans="1:14" ht="26.25" customHeight="1">
      <c r="A8" s="13" t="s">
        <v>137</v>
      </c>
      <c r="C8" s="103" t="s">
        <v>4</v>
      </c>
      <c r="D8" s="103" t="s">
        <v>3</v>
      </c>
      <c r="E8" s="1201"/>
      <c r="F8" s="1201"/>
      <c r="G8" s="1201"/>
      <c r="H8" s="103"/>
      <c r="I8" s="103"/>
      <c r="K8"/>
      <c r="L8"/>
      <c r="M8"/>
      <c r="N8"/>
    </row>
    <row r="9" spans="1:14" s="89" customFormat="1" ht="12.75">
      <c r="A9" s="124"/>
      <c r="B9" s="124"/>
      <c r="C9" s="124"/>
      <c r="D9" s="124"/>
      <c r="F9" s="297"/>
      <c r="G9" s="82"/>
      <c r="H9" s="104"/>
      <c r="I9" s="17"/>
      <c r="J9" s="104"/>
      <c r="K9"/>
      <c r="L9"/>
      <c r="M9"/>
      <c r="N9"/>
    </row>
    <row r="10" spans="1:14" s="89" customFormat="1" ht="12.75">
      <c r="A10" s="218" t="s">
        <v>626</v>
      </c>
      <c r="B10" s="17"/>
      <c r="C10" s="17"/>
      <c r="D10" s="17"/>
      <c r="F10" s="165"/>
      <c r="G10" s="104"/>
      <c r="H10" s="104"/>
      <c r="I10" s="17"/>
      <c r="J10" s="104"/>
      <c r="K10"/>
      <c r="L10"/>
      <c r="M10"/>
      <c r="N10"/>
    </row>
    <row r="11" spans="1:14" s="89" customFormat="1" ht="12.75">
      <c r="A11" s="218"/>
      <c r="B11" s="17"/>
      <c r="C11" s="17"/>
      <c r="D11" s="17"/>
      <c r="F11" s="165"/>
      <c r="G11" s="104"/>
      <c r="H11" s="104"/>
      <c r="I11" s="363"/>
      <c r="J11" s="104"/>
      <c r="K11"/>
      <c r="L11"/>
      <c r="M11"/>
      <c r="N11"/>
    </row>
    <row r="12" spans="1:14" s="89" customFormat="1" ht="12.75">
      <c r="A12" s="108" t="s">
        <v>601</v>
      </c>
      <c r="B12" s="17"/>
      <c r="C12" s="17"/>
      <c r="D12" s="17"/>
      <c r="E12" s="17"/>
      <c r="F12" s="104"/>
      <c r="G12" s="104"/>
      <c r="H12" s="104"/>
      <c r="I12" s="363"/>
      <c r="J12" s="104"/>
      <c r="K12"/>
      <c r="L12"/>
      <c r="M12"/>
      <c r="N12"/>
    </row>
    <row r="13" spans="1:21" ht="12.75" customHeight="1">
      <c r="A13" s="94"/>
      <c r="B13" s="74"/>
      <c r="C13" s="108"/>
      <c r="D13" s="84"/>
      <c r="E13" s="22"/>
      <c r="F13" s="89"/>
      <c r="G13" s="89"/>
      <c r="H13" s="89"/>
      <c r="I13" s="22"/>
      <c r="J13" s="120"/>
      <c r="K13"/>
      <c r="L13"/>
      <c r="M13"/>
      <c r="N13"/>
      <c r="O13" s="105"/>
      <c r="P13" s="105"/>
      <c r="Q13" s="105"/>
      <c r="R13" s="105"/>
      <c r="S13" s="105"/>
      <c r="T13" s="105"/>
      <c r="U13" s="105"/>
    </row>
    <row r="14" spans="1:14" ht="12.75">
      <c r="A14" s="94">
        <v>1</v>
      </c>
      <c r="B14" s="86"/>
      <c r="C14" s="109" t="s">
        <v>269</v>
      </c>
      <c r="D14" s="83" t="s">
        <v>565</v>
      </c>
      <c r="E14" s="1060">
        <v>1191003109</v>
      </c>
      <c r="F14" s="1060">
        <v>1186544169</v>
      </c>
      <c r="G14" s="166">
        <f>IF(F14="",0,AVERAGE(E14:F14))</f>
        <v>1188773639</v>
      </c>
      <c r="H14" s="95"/>
      <c r="I14" s="81"/>
      <c r="J14" s="94"/>
      <c r="K14" s="82"/>
      <c r="L14" s="82"/>
      <c r="M14" s="82"/>
      <c r="N14" s="82"/>
    </row>
    <row r="15" spans="1:14" ht="12.75">
      <c r="A15" s="94"/>
      <c r="B15" s="86"/>
      <c r="C15" s="79"/>
      <c r="D15" s="83"/>
      <c r="E15" s="78"/>
      <c r="F15" s="78"/>
      <c r="G15" s="95"/>
      <c r="H15" s="95"/>
      <c r="I15" s="81"/>
      <c r="J15" s="94"/>
      <c r="K15" s="82"/>
      <c r="L15" s="82"/>
      <c r="M15" s="82"/>
      <c r="N15" s="82"/>
    </row>
    <row r="16" spans="1:14" ht="12.75">
      <c r="A16" s="94">
        <f>+A14+1</f>
        <v>2</v>
      </c>
      <c r="B16" s="86"/>
      <c r="C16" s="79" t="s">
        <v>624</v>
      </c>
      <c r="D16" s="83" t="s">
        <v>573</v>
      </c>
      <c r="E16" s="1060">
        <v>10271623</v>
      </c>
      <c r="F16" s="1060">
        <v>10271623</v>
      </c>
      <c r="G16" s="166">
        <f>IF(F16="",0,AVERAGE(E16:F16))</f>
        <v>10271623</v>
      </c>
      <c r="H16" s="95"/>
      <c r="I16" s="81"/>
      <c r="J16" s="94"/>
      <c r="K16" s="82"/>
      <c r="L16" s="82"/>
      <c r="M16" s="82"/>
      <c r="N16" s="82"/>
    </row>
    <row r="17" spans="1:14" ht="12.75">
      <c r="A17"/>
      <c r="B17"/>
      <c r="C17"/>
      <c r="E17" t="s">
        <v>146</v>
      </c>
      <c r="F17" t="s">
        <v>146</v>
      </c>
      <c r="G17"/>
      <c r="H17" s="22"/>
      <c r="I17" s="22"/>
      <c r="J17"/>
      <c r="K17"/>
      <c r="L17"/>
      <c r="M17" s="82"/>
      <c r="N17" s="82"/>
    </row>
    <row r="18" spans="1:14" ht="12.75">
      <c r="A18" s="94">
        <f>+A16+1</f>
        <v>3</v>
      </c>
      <c r="B18" s="89"/>
      <c r="C18" s="109" t="s">
        <v>265</v>
      </c>
      <c r="D18" s="83" t="s">
        <v>566</v>
      </c>
      <c r="E18" s="1060">
        <v>586428048</v>
      </c>
      <c r="F18" s="1060">
        <v>570863459</v>
      </c>
      <c r="G18" s="166">
        <f>IF(F18="",0,AVERAGE(E18:F18))</f>
        <v>578645753.5</v>
      </c>
      <c r="H18" s="22"/>
      <c r="I18" s="81"/>
      <c r="J18" s="94"/>
      <c r="K18" s="82"/>
      <c r="L18" s="82"/>
      <c r="M18" s="82"/>
      <c r="N18" s="82"/>
    </row>
    <row r="19" spans="1:14" ht="12.75">
      <c r="A19" s="94"/>
      <c r="B19" s="84"/>
      <c r="E19" s="78"/>
      <c r="F19" s="78"/>
      <c r="G19" s="87"/>
      <c r="H19" s="87"/>
      <c r="I19" s="81"/>
      <c r="J19" s="94"/>
      <c r="K19" s="82"/>
      <c r="L19" s="82"/>
      <c r="M19" s="82"/>
      <c r="N19" s="82"/>
    </row>
    <row r="20" spans="1:14" ht="12.75">
      <c r="A20" s="94">
        <f>+A18+1</f>
        <v>4</v>
      </c>
      <c r="B20" s="84"/>
      <c r="C20" s="79" t="s">
        <v>625</v>
      </c>
      <c r="D20" s="83" t="s">
        <v>567</v>
      </c>
      <c r="E20" s="1060">
        <v>0</v>
      </c>
      <c r="F20" s="1060">
        <v>0</v>
      </c>
      <c r="G20" s="166">
        <f>IF(F20="",0,AVERAGE(E20:F20))</f>
        <v>0</v>
      </c>
      <c r="H20" s="87"/>
      <c r="I20" s="81"/>
      <c r="J20" s="94"/>
      <c r="K20" s="82"/>
      <c r="L20" s="82"/>
      <c r="M20" s="82"/>
      <c r="N20" s="82"/>
    </row>
    <row r="21" spans="1:14" ht="12.75">
      <c r="A21" s="94"/>
      <c r="B21" s="86"/>
      <c r="C21" s="79"/>
      <c r="D21" s="84"/>
      <c r="E21" s="78"/>
      <c r="F21" s="78"/>
      <c r="G21" s="95"/>
      <c r="H21" s="95"/>
      <c r="I21" s="81"/>
      <c r="J21" s="94"/>
      <c r="K21" s="82"/>
      <c r="L21" s="82"/>
      <c r="M21" s="82"/>
      <c r="N21" s="82"/>
    </row>
    <row r="22" spans="1:14" ht="12.75">
      <c r="A22" s="94">
        <f>+A20+1</f>
        <v>5</v>
      </c>
      <c r="B22" s="86"/>
      <c r="C22" s="109" t="s">
        <v>266</v>
      </c>
      <c r="D22" s="83" t="s">
        <v>568</v>
      </c>
      <c r="E22" s="1060">
        <v>819426940</v>
      </c>
      <c r="F22" s="1060">
        <v>790069680</v>
      </c>
      <c r="G22" s="166">
        <f>IF(F22="",0,AVERAGE(E22:F22))</f>
        <v>804748310</v>
      </c>
      <c r="H22" s="95"/>
      <c r="I22" s="81"/>
      <c r="J22" s="94"/>
      <c r="K22" s="82"/>
      <c r="L22" s="82"/>
      <c r="M22" s="82"/>
      <c r="N22" s="82"/>
    </row>
    <row r="23" spans="1:14" ht="12.75">
      <c r="A23" s="94"/>
      <c r="B23" s="86"/>
      <c r="C23" s="79"/>
      <c r="D23" s="83"/>
      <c r="E23" s="78"/>
      <c r="F23" s="78"/>
      <c r="G23" s="95"/>
      <c r="H23" s="95"/>
      <c r="I23" s="81"/>
      <c r="J23" s="94"/>
      <c r="K23" s="82"/>
      <c r="L23" s="82"/>
      <c r="M23" s="82"/>
      <c r="N23" s="82"/>
    </row>
    <row r="24" spans="1:14" ht="12.75">
      <c r="A24" s="94">
        <f>+A22+1</f>
        <v>6</v>
      </c>
      <c r="B24" s="86"/>
      <c r="C24" s="79" t="s">
        <v>436</v>
      </c>
      <c r="D24" s="83" t="s">
        <v>569</v>
      </c>
      <c r="E24" s="1060">
        <v>0</v>
      </c>
      <c r="F24" s="1060">
        <v>0</v>
      </c>
      <c r="G24" s="166">
        <f>IF(F24="",0,AVERAGE(E24:F24))</f>
        <v>0</v>
      </c>
      <c r="H24" s="95"/>
      <c r="I24" s="81"/>
      <c r="J24" s="94"/>
      <c r="K24" s="82"/>
      <c r="L24" s="82"/>
      <c r="M24" s="82"/>
      <c r="N24" s="82"/>
    </row>
    <row r="25" spans="1:14" ht="12.75">
      <c r="A25" s="94"/>
      <c r="B25" s="86"/>
      <c r="C25" s="79"/>
      <c r="D25" s="84"/>
      <c r="E25" s="78"/>
      <c r="F25" s="78"/>
      <c r="G25" s="95"/>
      <c r="H25" s="95"/>
      <c r="I25" s="81"/>
      <c r="J25" s="94"/>
      <c r="K25" s="82"/>
      <c r="L25" s="82"/>
      <c r="M25" s="82"/>
      <c r="N25" s="82"/>
    </row>
    <row r="26" spans="1:14" ht="12.75">
      <c r="A26" s="94">
        <f>+A24+1</f>
        <v>7</v>
      </c>
      <c r="B26" s="86"/>
      <c r="C26" s="109" t="s">
        <v>268</v>
      </c>
      <c r="D26" s="83" t="s">
        <v>570</v>
      </c>
      <c r="E26" s="1060">
        <v>39688921</v>
      </c>
      <c r="F26" s="1060">
        <v>39173277</v>
      </c>
      <c r="G26" s="166">
        <f>IF(F26="",0,AVERAGE(E26:F26))</f>
        <v>39431099</v>
      </c>
      <c r="H26" s="95"/>
      <c r="I26" s="81"/>
      <c r="J26" s="94"/>
      <c r="K26" s="82"/>
      <c r="L26" s="82"/>
      <c r="M26" s="82"/>
      <c r="N26" s="82"/>
    </row>
    <row r="27" spans="1:14" ht="12.75">
      <c r="A27" s="94"/>
      <c r="B27" s="86"/>
      <c r="C27" s="79"/>
      <c r="D27" s="83"/>
      <c r="E27" s="78"/>
      <c r="F27" s="78"/>
      <c r="G27" s="95"/>
      <c r="H27" s="95"/>
      <c r="I27" s="81"/>
      <c r="J27" s="94"/>
      <c r="K27" s="82"/>
      <c r="L27" s="82"/>
      <c r="M27" s="82"/>
      <c r="N27" s="82"/>
    </row>
    <row r="28" spans="1:14" ht="12.75">
      <c r="A28" s="94">
        <f>+A26+1</f>
        <v>8</v>
      </c>
      <c r="B28" s="86"/>
      <c r="C28" s="79" t="s">
        <v>437</v>
      </c>
      <c r="D28" s="83" t="s">
        <v>571</v>
      </c>
      <c r="E28" s="1060">
        <v>0</v>
      </c>
      <c r="F28" s="1060">
        <v>0</v>
      </c>
      <c r="G28" s="166">
        <f>IF(F28="",0,AVERAGE(E28:F28))</f>
        <v>0</v>
      </c>
      <c r="H28" s="95"/>
      <c r="I28" s="81"/>
      <c r="J28" s="94"/>
      <c r="K28" s="82"/>
      <c r="L28" s="82"/>
      <c r="M28" s="82"/>
      <c r="N28" s="82"/>
    </row>
    <row r="29" spans="1:14" ht="12.75">
      <c r="A29" s="94"/>
      <c r="B29" s="86"/>
      <c r="C29" s="79"/>
      <c r="D29" s="84"/>
      <c r="E29" s="78"/>
      <c r="F29" s="78"/>
      <c r="G29" s="95"/>
      <c r="H29" s="95"/>
      <c r="I29" s="81"/>
      <c r="J29" s="94"/>
      <c r="K29" s="82"/>
      <c r="L29" s="82"/>
      <c r="M29" s="82"/>
      <c r="N29" s="82"/>
    </row>
    <row r="30" spans="1:14" ht="12.75">
      <c r="A30" s="94">
        <f>+A28+1</f>
        <v>9</v>
      </c>
      <c r="B30" s="86"/>
      <c r="C30" s="109" t="s">
        <v>267</v>
      </c>
      <c r="D30" s="83" t="s">
        <v>572</v>
      </c>
      <c r="E30" s="1060">
        <v>29760788</v>
      </c>
      <c r="F30" s="1060">
        <v>21867181</v>
      </c>
      <c r="G30" s="166">
        <f>IF(F30="",0,AVERAGE(E30:F30))</f>
        <v>25813984.5</v>
      </c>
      <c r="H30" s="95"/>
      <c r="I30" s="81"/>
      <c r="J30" s="94"/>
      <c r="K30" s="82"/>
      <c r="L30" s="82"/>
      <c r="M30" s="82"/>
      <c r="N30" s="82"/>
    </row>
    <row r="31" spans="1:14" ht="12.75">
      <c r="A31" s="94"/>
      <c r="B31" s="86"/>
      <c r="C31" s="79"/>
      <c r="D31" s="83"/>
      <c r="E31" s="78" t="s">
        <v>146</v>
      </c>
      <c r="F31" s="78"/>
      <c r="G31" s="95"/>
      <c r="H31" s="95"/>
      <c r="I31" s="81"/>
      <c r="J31" s="94"/>
      <c r="K31" s="82"/>
      <c r="L31" s="82"/>
      <c r="M31" s="82"/>
      <c r="N31" s="82"/>
    </row>
    <row r="32" spans="1:14" ht="12.75">
      <c r="A32" s="94">
        <f>+A30+1</f>
        <v>10</v>
      </c>
      <c r="B32" s="86"/>
      <c r="C32" s="79" t="s">
        <v>438</v>
      </c>
      <c r="D32" s="83" t="str">
        <f>"(Sum of Lines: "&amp;A18&amp;", "&amp;A14&amp;", "&amp;A22&amp;", "&amp;A26&amp;", "&amp;A30&amp;")"</f>
        <v>(Sum of Lines: 3, 1, 5, 7, 9)</v>
      </c>
      <c r="E32" s="118">
        <f>+E18+E14+E22+E26+E30</f>
        <v>2666307806</v>
      </c>
      <c r="F32" s="118">
        <f>+F18+F14+F22+F26+F30</f>
        <v>2608517766</v>
      </c>
      <c r="G32" s="118">
        <f>+G18+G14+G22+G26+G30</f>
        <v>2637412786</v>
      </c>
      <c r="H32" s="22"/>
      <c r="I32" s="81"/>
      <c r="J32" s="94"/>
      <c r="K32" s="82"/>
      <c r="L32" s="82"/>
      <c r="M32" s="82"/>
      <c r="N32" s="82"/>
    </row>
    <row r="33" spans="1:14" ht="12.75">
      <c r="A33" s="94"/>
      <c r="B33" s="86"/>
      <c r="C33" s="79"/>
      <c r="D33" s="84"/>
      <c r="E33" s="78"/>
      <c r="F33" s="78"/>
      <c r="G33" s="78"/>
      <c r="H33" s="95"/>
      <c r="I33" s="81"/>
      <c r="J33" s="94"/>
      <c r="K33" s="82"/>
      <c r="L33" s="82"/>
      <c r="M33" s="82"/>
      <c r="N33" s="82"/>
    </row>
    <row r="34" spans="1:14" ht="12.75">
      <c r="A34" s="94">
        <f>+A32+1</f>
        <v>11</v>
      </c>
      <c r="B34" s="86"/>
      <c r="C34" s="79" t="str">
        <f>"Total ARO Balance (included in total on line "&amp;A32&amp;")"</f>
        <v>Total ARO Balance (included in total on line 10)</v>
      </c>
      <c r="D34" s="83" t="str">
        <f>"(Sum of Lines: "&amp;A20&amp;", "&amp;A16&amp;", "&amp;A24&amp;", "&amp;A28&amp;")"</f>
        <v>(Sum of Lines: 4, 2, 6, 8)</v>
      </c>
      <c r="E34" s="118">
        <f>+E20+E16+E24+E28</f>
        <v>10271623</v>
      </c>
      <c r="F34" s="118">
        <f>+F20+F16+F24+F28</f>
        <v>10271623</v>
      </c>
      <c r="G34" s="118">
        <f>+G20+G16+G24+G28</f>
        <v>10271623</v>
      </c>
      <c r="H34" s="95"/>
      <c r="I34" s="81"/>
      <c r="J34" s="94"/>
      <c r="K34" s="82"/>
      <c r="L34" s="82"/>
      <c r="M34" s="82"/>
      <c r="N34" s="82"/>
    </row>
    <row r="35" spans="1:14" ht="12.75">
      <c r="A35" s="94"/>
      <c r="B35" s="86"/>
      <c r="C35" s="79"/>
      <c r="D35" s="84"/>
      <c r="E35" s="78"/>
      <c r="F35" s="78"/>
      <c r="G35" s="95"/>
      <c r="H35" s="95"/>
      <c r="I35" s="81"/>
      <c r="J35" s="94"/>
      <c r="K35" s="82"/>
      <c r="L35" s="82"/>
      <c r="M35" s="82"/>
      <c r="N35" s="82"/>
    </row>
    <row r="36" spans="1:14" ht="12.75">
      <c r="A36" s="108" t="s">
        <v>444</v>
      </c>
      <c r="B36" s="86"/>
      <c r="C36" s="79"/>
      <c r="D36" s="84"/>
      <c r="E36" s="254" t="s">
        <v>146</v>
      </c>
      <c r="F36" s="254"/>
      <c r="G36" s="95"/>
      <c r="H36" s="95"/>
      <c r="I36" s="81"/>
      <c r="J36" s="94"/>
      <c r="K36" s="82"/>
      <c r="L36" s="82"/>
      <c r="M36" s="82"/>
      <c r="N36" s="82"/>
    </row>
    <row r="37" spans="1:14" ht="12.75">
      <c r="A37" s="94"/>
      <c r="B37" s="86"/>
      <c r="C37" s="79"/>
      <c r="D37" s="84"/>
      <c r="E37" s="254" t="s">
        <v>146</v>
      </c>
      <c r="F37" s="254"/>
      <c r="G37" s="95"/>
      <c r="H37" s="95"/>
      <c r="I37" s="81"/>
      <c r="J37" s="94"/>
      <c r="K37" s="82"/>
      <c r="L37" s="82"/>
      <c r="M37" s="82"/>
      <c r="N37" s="82"/>
    </row>
    <row r="38" spans="1:14" ht="12.75" customHeight="1">
      <c r="A38" s="94">
        <f>+A34+1</f>
        <v>12</v>
      </c>
      <c r="B38" s="86"/>
      <c r="C38" s="109" t="s">
        <v>272</v>
      </c>
      <c r="D38" s="83" t="s">
        <v>480</v>
      </c>
      <c r="E38" s="1060">
        <v>424626670</v>
      </c>
      <c r="F38" s="1060">
        <v>411206073</v>
      </c>
      <c r="G38" s="166">
        <f>IF(F38="",0,AVERAGE(E38:F38))</f>
        <v>417916371.5</v>
      </c>
      <c r="H38" s="84"/>
      <c r="I38" s="94"/>
      <c r="J38" s="84"/>
      <c r="K38" s="82"/>
      <c r="L38" s="82"/>
      <c r="M38" s="82"/>
      <c r="N38" s="82"/>
    </row>
    <row r="39" spans="1:14" ht="12.75" customHeight="1">
      <c r="A39" s="94"/>
      <c r="B39" s="86"/>
      <c r="C39" s="79"/>
      <c r="D39" s="83"/>
      <c r="E39" s="78"/>
      <c r="F39" s="78"/>
      <c r="G39" s="95"/>
      <c r="H39" s="95"/>
      <c r="I39" s="97"/>
      <c r="J39" s="96"/>
      <c r="K39" s="82"/>
      <c r="L39" s="82"/>
      <c r="M39" s="82"/>
      <c r="N39" s="82"/>
    </row>
    <row r="40" spans="1:14" ht="12.75" customHeight="1">
      <c r="A40" s="94">
        <f>+A38+1</f>
        <v>13</v>
      </c>
      <c r="B40" s="86"/>
      <c r="C40" s="364" t="s">
        <v>443</v>
      </c>
      <c r="D40" s="365" t="s">
        <v>97</v>
      </c>
      <c r="E40" s="1060">
        <v>2605518</v>
      </c>
      <c r="F40" s="1060">
        <v>2378482</v>
      </c>
      <c r="G40" s="166">
        <f>IF(F40="",0,AVERAGE(E40:F40))</f>
        <v>2492000</v>
      </c>
      <c r="H40" s="106"/>
      <c r="I40" s="97"/>
      <c r="J40" s="84"/>
      <c r="K40" s="75"/>
      <c r="L40" s="75"/>
      <c r="M40" s="75"/>
      <c r="N40" s="75"/>
    </row>
    <row r="41" spans="1:14" ht="12.75" customHeight="1">
      <c r="A41" s="366"/>
      <c r="B41" s="367"/>
      <c r="C41" s="79"/>
      <c r="D41" s="84"/>
      <c r="E41"/>
      <c r="F41"/>
      <c r="G41"/>
      <c r="H41" s="107"/>
      <c r="I41" s="80"/>
      <c r="J41" s="84"/>
      <c r="K41" s="82"/>
      <c r="L41" s="82"/>
      <c r="M41" s="82"/>
      <c r="N41" s="82"/>
    </row>
    <row r="42" spans="1:14" ht="12.75" customHeight="1">
      <c r="A42" s="94">
        <f>+A40+1</f>
        <v>14</v>
      </c>
      <c r="B42" s="89"/>
      <c r="C42" s="368" t="s">
        <v>270</v>
      </c>
      <c r="D42" s="365" t="s">
        <v>482</v>
      </c>
      <c r="E42" s="1060">
        <v>200981717</v>
      </c>
      <c r="F42" s="1060">
        <v>188804677</v>
      </c>
      <c r="G42" s="166">
        <f>IF(F42="",0,AVERAGE(E42:F42))</f>
        <v>194893197</v>
      </c>
      <c r="H42" s="95"/>
      <c r="I42" s="81"/>
      <c r="J42" s="84"/>
      <c r="K42" s="82"/>
      <c r="L42" s="82"/>
      <c r="M42" s="82"/>
      <c r="N42" s="82"/>
    </row>
    <row r="43" spans="1:14" ht="12.75" customHeight="1">
      <c r="A43" s="366"/>
      <c r="B43" s="369"/>
      <c r="C43" s="370"/>
      <c r="D43" s="365"/>
      <c r="E43" s="78"/>
      <c r="F43" s="78"/>
      <c r="G43" s="87"/>
      <c r="H43" s="95"/>
      <c r="I43" s="81"/>
      <c r="J43" s="84"/>
      <c r="K43" s="82"/>
      <c r="L43" s="82"/>
      <c r="M43" s="82"/>
      <c r="N43" s="82"/>
    </row>
    <row r="44" spans="1:14" ht="12.75" customHeight="1">
      <c r="A44" s="366">
        <f>+A42+1</f>
        <v>15</v>
      </c>
      <c r="B44" s="369"/>
      <c r="C44" s="79" t="s">
        <v>442</v>
      </c>
      <c r="D44" s="83" t="s">
        <v>97</v>
      </c>
      <c r="E44" s="1060">
        <v>0</v>
      </c>
      <c r="F44" s="1060">
        <v>0</v>
      </c>
      <c r="G44" s="166">
        <f>IF(F44="",0,AVERAGE(E44:F44))</f>
        <v>0</v>
      </c>
      <c r="H44" s="95"/>
      <c r="I44" s="81"/>
      <c r="J44" s="84"/>
      <c r="K44" s="82"/>
      <c r="L44" s="82"/>
      <c r="M44" s="82"/>
      <c r="N44" s="82"/>
    </row>
    <row r="45" spans="1:14" ht="12.75" customHeight="1">
      <c r="A45" s="94"/>
      <c r="B45" s="86"/>
      <c r="C45" s="364"/>
      <c r="D45" s="369"/>
      <c r="E45" s="78"/>
      <c r="F45" s="78"/>
      <c r="G45" s="95"/>
      <c r="H45" s="107"/>
      <c r="I45" s="80"/>
      <c r="J45" s="84"/>
      <c r="K45" s="82"/>
      <c r="L45" s="82"/>
      <c r="M45" s="82"/>
      <c r="N45" s="82"/>
    </row>
    <row r="46" spans="1:14" ht="12.75" customHeight="1">
      <c r="A46" s="366">
        <f>+A44+1</f>
        <v>16</v>
      </c>
      <c r="B46" s="367"/>
      <c r="C46" s="109" t="s">
        <v>271</v>
      </c>
      <c r="D46" s="83" t="s">
        <v>649</v>
      </c>
      <c r="E46" s="1060">
        <v>243690666</v>
      </c>
      <c r="F46" s="1060">
        <v>227872090</v>
      </c>
      <c r="G46" s="166">
        <f>IF(F46="",0,AVERAGE(E46:F46))</f>
        <v>235781378</v>
      </c>
      <c r="H46" s="107"/>
      <c r="I46" s="80"/>
      <c r="J46" s="84"/>
      <c r="K46" s="82"/>
      <c r="L46" s="82"/>
      <c r="M46" s="82"/>
      <c r="N46" s="82"/>
    </row>
    <row r="47" spans="1:14" ht="12.75" customHeight="1">
      <c r="A47" s="94"/>
      <c r="B47" s="86"/>
      <c r="C47" s="364"/>
      <c r="D47" s="365"/>
      <c r="E47" s="78"/>
      <c r="F47" s="78"/>
      <c r="G47" s="95"/>
      <c r="H47" s="107"/>
      <c r="I47" s="80"/>
      <c r="J47" s="84"/>
      <c r="K47" s="82"/>
      <c r="L47" s="82"/>
      <c r="M47" s="82"/>
      <c r="N47" s="82"/>
    </row>
    <row r="48" spans="1:14" ht="12.75" customHeight="1">
      <c r="A48" s="366">
        <f>+A46+1</f>
        <v>17</v>
      </c>
      <c r="B48" s="367"/>
      <c r="C48" s="79" t="s">
        <v>440</v>
      </c>
      <c r="D48" s="83" t="s">
        <v>97</v>
      </c>
      <c r="E48" s="1060">
        <v>0</v>
      </c>
      <c r="F48" s="1060">
        <v>0</v>
      </c>
      <c r="G48" s="166">
        <f>IF(F48="",0,AVERAGE(E48:F48))</f>
        <v>0</v>
      </c>
      <c r="H48" s="95"/>
      <c r="I48" s="81"/>
      <c r="J48" s="94"/>
      <c r="K48" s="82"/>
      <c r="L48" s="82"/>
      <c r="M48" s="82"/>
      <c r="N48" s="82"/>
    </row>
    <row r="49" spans="1:14" ht="12.75" customHeight="1">
      <c r="A49" s="94"/>
      <c r="B49" s="86"/>
      <c r="C49" s="364"/>
      <c r="D49" s="369"/>
      <c r="E49" s="78"/>
      <c r="F49" s="78"/>
      <c r="G49" s="95"/>
      <c r="H49" s="84"/>
      <c r="I49" s="94"/>
      <c r="J49" s="94"/>
      <c r="K49" s="82"/>
      <c r="L49" s="82"/>
      <c r="M49" s="82"/>
      <c r="N49" s="82"/>
    </row>
    <row r="50" spans="1:14" ht="12.75" customHeight="1">
      <c r="A50" s="366">
        <f>+A48+1</f>
        <v>18</v>
      </c>
      <c r="B50" s="367"/>
      <c r="C50" s="109" t="s">
        <v>439</v>
      </c>
      <c r="D50" s="83" t="s">
        <v>612</v>
      </c>
      <c r="E50" s="1060">
        <v>12701789</v>
      </c>
      <c r="F50" s="1060">
        <v>11394682</v>
      </c>
      <c r="G50" s="166">
        <f>IF(F50="",0,AVERAGE(E50:F50))</f>
        <v>12048235.5</v>
      </c>
      <c r="H50" s="95"/>
      <c r="I50" s="97"/>
      <c r="J50" s="94"/>
      <c r="K50" s="82"/>
      <c r="L50" s="82"/>
      <c r="M50" s="82"/>
      <c r="N50" s="82"/>
    </row>
    <row r="51" spans="1:14" ht="12.75" customHeight="1">
      <c r="A51" s="94"/>
      <c r="B51" s="86"/>
      <c r="C51" s="364"/>
      <c r="D51" s="365"/>
      <c r="E51" s="78"/>
      <c r="F51" s="78"/>
      <c r="G51" s="95"/>
      <c r="H51" s="106"/>
      <c r="I51" s="97"/>
      <c r="J51" s="94"/>
      <c r="K51" s="82"/>
      <c r="L51" s="82"/>
      <c r="M51" s="82"/>
      <c r="N51" s="82"/>
    </row>
    <row r="52" spans="1:14" ht="12.75" customHeight="1">
      <c r="A52" s="366">
        <f>+A50+1</f>
        <v>19</v>
      </c>
      <c r="B52" s="367"/>
      <c r="C52" s="79" t="s">
        <v>441</v>
      </c>
      <c r="D52" s="83" t="s">
        <v>97</v>
      </c>
      <c r="E52" s="1060">
        <v>0</v>
      </c>
      <c r="F52" s="1060">
        <v>0</v>
      </c>
      <c r="G52" s="166">
        <f>IF(F52="",0,AVERAGE(E52:F52))</f>
        <v>0</v>
      </c>
      <c r="H52" s="107"/>
      <c r="I52" s="96"/>
      <c r="J52" s="94"/>
      <c r="K52" s="82"/>
      <c r="L52" s="82"/>
      <c r="M52" s="82"/>
      <c r="N52" s="82"/>
    </row>
    <row r="53" spans="1:14" ht="12.75" customHeight="1">
      <c r="A53" s="94"/>
      <c r="B53" s="86"/>
      <c r="C53" s="364"/>
      <c r="D53" s="369"/>
      <c r="E53" s="78"/>
      <c r="F53" s="78"/>
      <c r="G53" s="95"/>
      <c r="H53" s="107"/>
      <c r="I53" s="96"/>
      <c r="J53" s="94"/>
      <c r="K53" s="82"/>
      <c r="L53" s="82"/>
      <c r="M53" s="82"/>
      <c r="N53" s="82"/>
    </row>
    <row r="54" spans="1:14" ht="12.75" customHeight="1">
      <c r="A54" s="366">
        <f>+A52+1</f>
        <v>20</v>
      </c>
      <c r="B54" s="367"/>
      <c r="C54" s="109" t="s">
        <v>445</v>
      </c>
      <c r="D54" s="83" t="s">
        <v>650</v>
      </c>
      <c r="E54" s="1060">
        <v>14283979</v>
      </c>
      <c r="F54" s="1060">
        <v>11424378</v>
      </c>
      <c r="G54" s="166">
        <f>IF(F54="",0,AVERAGE(E54:F54))</f>
        <v>12854178.5</v>
      </c>
      <c r="H54" s="107"/>
      <c r="I54" s="80"/>
      <c r="J54" s="94"/>
      <c r="K54" s="82"/>
      <c r="L54" s="82"/>
      <c r="M54" s="82"/>
      <c r="N54" s="82"/>
    </row>
    <row r="55" spans="1:14" ht="12.75" customHeight="1">
      <c r="A55" s="94"/>
      <c r="B55" s="86"/>
      <c r="C55" s="364"/>
      <c r="D55" s="365"/>
      <c r="E55" s="78"/>
      <c r="F55" s="78"/>
      <c r="G55" s="95"/>
      <c r="H55" s="107"/>
      <c r="I55" s="80"/>
      <c r="J55" s="94"/>
      <c r="K55" s="82"/>
      <c r="L55" s="82"/>
      <c r="M55" s="82"/>
      <c r="N55" s="82"/>
    </row>
    <row r="56" spans="1:14" ht="12.75" customHeight="1">
      <c r="A56" s="366">
        <f>+A54+1</f>
        <v>21</v>
      </c>
      <c r="B56" s="367"/>
      <c r="C56" s="79" t="s">
        <v>446</v>
      </c>
      <c r="D56" s="83" t="str">
        <f>"(Sum of Lines: "&amp;A42&amp;", "&amp;A38&amp;", "&amp;A46&amp;", "&amp;A50&amp;", "&amp;A54&amp;")"</f>
        <v>(Sum of Lines: 14, 12, 16, 18, 20)</v>
      </c>
      <c r="E56" s="118">
        <f>+E42+E38+E46+E50+E54</f>
        <v>896284821</v>
      </c>
      <c r="F56" s="118">
        <f>+F42+F38+F46+F50+F54</f>
        <v>850701900</v>
      </c>
      <c r="G56" s="118">
        <f>+G42+G38+G46+G50+G54</f>
        <v>873493360.5</v>
      </c>
      <c r="H56" s="84"/>
      <c r="I56" s="94"/>
      <c r="J56" s="84"/>
      <c r="K56" s="82"/>
      <c r="L56" s="82"/>
      <c r="M56" s="82"/>
      <c r="N56" s="82"/>
    </row>
    <row r="57" spans="1:14" ht="12.75" customHeight="1">
      <c r="A57" s="94"/>
      <c r="B57" s="86"/>
      <c r="C57" s="364"/>
      <c r="D57" s="369"/>
      <c r="E57" s="78"/>
      <c r="F57" s="78"/>
      <c r="G57" s="78"/>
      <c r="H57" s="95"/>
      <c r="I57" s="97"/>
      <c r="J57" s="89"/>
      <c r="K57" s="82"/>
      <c r="L57" s="82"/>
      <c r="M57" s="82"/>
      <c r="N57" s="82"/>
    </row>
    <row r="58" spans="1:14" ht="12.75" customHeight="1">
      <c r="A58" s="366">
        <f>+A56+1</f>
        <v>22</v>
      </c>
      <c r="B58" s="367"/>
      <c r="C58" s="79" t="str">
        <f>"Total ARO Balance (included in total on line "&amp;A56&amp;")"</f>
        <v>Total ARO Balance (included in total on line 21)</v>
      </c>
      <c r="D58" s="83" t="str">
        <f>"(Sum of Lines: "&amp;A44&amp;", "&amp;A40&amp;", "&amp;A48&amp;", "&amp;A52&amp;")"</f>
        <v>(Sum of Lines: 15, 13, 17, 19)</v>
      </c>
      <c r="E58" s="118">
        <f>+E44+E40+E48+E52</f>
        <v>2605518</v>
      </c>
      <c r="F58" s="118">
        <f>+F44+F40+F48+F52</f>
        <v>2378482</v>
      </c>
      <c r="G58" s="118">
        <f>+G44+G40+G48+G52</f>
        <v>2492000</v>
      </c>
      <c r="H58" s="106"/>
      <c r="I58" s="97"/>
      <c r="J58" s="84"/>
      <c r="K58" s="75"/>
      <c r="L58" s="75"/>
      <c r="M58" s="75"/>
      <c r="N58" s="75"/>
    </row>
    <row r="59" spans="1:14" ht="12.75" customHeight="1">
      <c r="A59" s="94"/>
      <c r="B59" s="86"/>
      <c r="C59" s="364"/>
      <c r="D59" s="365"/>
      <c r="E59" s="167"/>
      <c r="F59" s="167"/>
      <c r="G59" s="95"/>
      <c r="H59" s="106"/>
      <c r="I59" s="97"/>
      <c r="J59" s="84"/>
      <c r="K59" s="75"/>
      <c r="L59" s="75"/>
      <c r="M59" s="75"/>
      <c r="N59" s="75"/>
    </row>
    <row r="60" spans="1:14" ht="12.75" customHeight="1">
      <c r="A60" s="108" t="s">
        <v>447</v>
      </c>
      <c r="B60" s="371"/>
      <c r="C60" s="364"/>
      <c r="D60" s="365"/>
      <c r="E60" s="167"/>
      <c r="F60" s="167"/>
      <c r="G60" s="95"/>
      <c r="H60" s="106"/>
      <c r="I60" s="97"/>
      <c r="J60" s="84"/>
      <c r="K60" s="75"/>
      <c r="L60" s="75"/>
      <c r="M60" s="75"/>
      <c r="N60" s="75"/>
    </row>
    <row r="61" spans="1:14" ht="12.75" customHeight="1">
      <c r="A61" s="366"/>
      <c r="B61" s="367"/>
      <c r="C61" s="79"/>
      <c r="D61" s="83"/>
      <c r="E61" s="167"/>
      <c r="F61" s="167"/>
      <c r="G61" s="95"/>
      <c r="H61" s="106"/>
      <c r="I61" s="97"/>
      <c r="J61" s="84"/>
      <c r="K61" s="75"/>
      <c r="L61" s="75"/>
      <c r="M61" s="75"/>
      <c r="N61" s="75"/>
    </row>
    <row r="62" spans="1:14" ht="12.75" customHeight="1">
      <c r="A62" s="94">
        <f>+A58+1</f>
        <v>23</v>
      </c>
      <c r="B62" s="86"/>
      <c r="C62" s="364" t="s">
        <v>448</v>
      </c>
      <c r="D62" s="365" t="s">
        <v>97</v>
      </c>
      <c r="E62" s="1060">
        <v>10198257</v>
      </c>
      <c r="F62" s="1060">
        <v>10198257</v>
      </c>
      <c r="G62" s="166">
        <f>IF(F62="",0,AVERAGE(E62:F62))</f>
        <v>10198257</v>
      </c>
      <c r="H62" s="107"/>
      <c r="I62" s="96"/>
      <c r="J62" s="84"/>
      <c r="K62" s="75"/>
      <c r="L62" s="75"/>
      <c r="M62" s="75"/>
      <c r="N62" s="75"/>
    </row>
    <row r="63" spans="1:14" ht="12.75" customHeight="1">
      <c r="A63" s="366"/>
      <c r="B63" s="367"/>
      <c r="C63" s="79"/>
      <c r="D63" s="83"/>
      <c r="E63" s="78"/>
      <c r="F63" s="78"/>
      <c r="G63" s="166"/>
      <c r="H63" s="107"/>
      <c r="I63" s="96"/>
      <c r="J63" s="84"/>
      <c r="K63" s="75"/>
      <c r="L63" s="75"/>
      <c r="M63" s="75"/>
      <c r="N63" s="75"/>
    </row>
    <row r="64" spans="1:14" ht="12.75" customHeight="1">
      <c r="A64" s="94">
        <f>+A62+1</f>
        <v>24</v>
      </c>
      <c r="B64" s="86"/>
      <c r="C64" s="364" t="s">
        <v>449</v>
      </c>
      <c r="D64" s="365" t="s">
        <v>97</v>
      </c>
      <c r="E64" s="1060">
        <v>5478329</v>
      </c>
      <c r="F64" s="1060">
        <v>5259165</v>
      </c>
      <c r="G64" s="166">
        <f>IF(F64="",0,AVERAGE(E64:F64))</f>
        <v>5368747</v>
      </c>
      <c r="H64" s="107"/>
      <c r="I64" s="80"/>
      <c r="J64" s="84"/>
      <c r="K64" s="75"/>
      <c r="L64" s="75"/>
      <c r="M64" s="75"/>
      <c r="N64" s="75"/>
    </row>
    <row r="65" spans="1:14" ht="12.75" customHeight="1">
      <c r="A65" s="366"/>
      <c r="B65" s="367"/>
      <c r="C65" s="79"/>
      <c r="D65" s="83"/>
      <c r="E65" s="167"/>
      <c r="F65" s="167"/>
      <c r="G65" s="95"/>
      <c r="H65" s="106"/>
      <c r="I65" s="97"/>
      <c r="J65" s="84"/>
      <c r="K65" s="75"/>
      <c r="L65" s="75"/>
      <c r="M65" s="75"/>
      <c r="N65" s="75"/>
    </row>
    <row r="66" spans="1:14" ht="12.75" customHeight="1">
      <c r="A66" s="94">
        <f>+A64+1</f>
        <v>25</v>
      </c>
      <c r="B66" s="86"/>
      <c r="C66" s="364" t="s">
        <v>471</v>
      </c>
      <c r="D66" s="365" t="str">
        <f>"(Line "&amp;A62&amp;" - Line  "&amp;A64&amp;")"</f>
        <v>(Line 23 - Line  24)</v>
      </c>
      <c r="E66" s="118">
        <f>+E62-E64</f>
        <v>4719928</v>
      </c>
      <c r="F66" s="118">
        <f>+F62-F64</f>
        <v>4939092</v>
      </c>
      <c r="G66" s="118">
        <f>+G62-G64</f>
        <v>4829510</v>
      </c>
      <c r="H66" s="106"/>
      <c r="I66" s="97"/>
      <c r="J66" s="84"/>
      <c r="K66" s="75"/>
      <c r="L66" s="75"/>
      <c r="M66" s="75"/>
      <c r="N66" s="75"/>
    </row>
    <row r="67" spans="1:14" ht="12.75" customHeight="1">
      <c r="A67" s="366"/>
      <c r="B67" s="367"/>
      <c r="C67" s="79"/>
      <c r="D67" s="83"/>
      <c r="E67" s="72"/>
      <c r="F67" s="72"/>
      <c r="G67" s="72"/>
      <c r="H67" s="106"/>
      <c r="I67" s="97"/>
      <c r="J67" s="84"/>
      <c r="K67" s="75"/>
      <c r="L67" s="75"/>
      <c r="M67" s="75"/>
      <c r="N67" s="75"/>
    </row>
    <row r="68" spans="1:14" ht="12.75" customHeight="1">
      <c r="A68" s="85" t="s">
        <v>657</v>
      </c>
      <c r="B68" s="371"/>
      <c r="C68" s="364"/>
      <c r="D68" s="365"/>
      <c r="E68" s="72"/>
      <c r="F68" s="72"/>
      <c r="G68" s="72"/>
      <c r="H68" s="106"/>
      <c r="I68" s="97"/>
      <c r="J68" s="84"/>
      <c r="K68" s="75"/>
      <c r="L68" s="75"/>
      <c r="M68" s="75"/>
      <c r="N68" s="75"/>
    </row>
    <row r="69" spans="1:14" ht="12.75" customHeight="1">
      <c r="A69" s="85"/>
      <c r="B69" s="371"/>
      <c r="C69" s="364"/>
      <c r="D69" s="365"/>
      <c r="E69" s="72"/>
      <c r="F69" s="72"/>
      <c r="G69" s="72"/>
      <c r="H69" s="106"/>
      <c r="I69" s="97"/>
      <c r="J69" s="84"/>
      <c r="K69" s="75"/>
      <c r="L69" s="75"/>
      <c r="M69" s="75"/>
      <c r="N69" s="75"/>
    </row>
    <row r="70" spans="1:14" ht="12.75" customHeight="1">
      <c r="A70" s="366">
        <f>+A66+1</f>
        <v>26</v>
      </c>
      <c r="B70" s="367"/>
      <c r="C70" s="79" t="s">
        <v>270</v>
      </c>
      <c r="D70" s="83" t="str">
        <f>"(Line "&amp;A42&amp;" Above)"</f>
        <v>(Line 14 Above)</v>
      </c>
      <c r="E70" s="72">
        <f>+E42</f>
        <v>200981717</v>
      </c>
      <c r="F70" s="72">
        <f>+F42</f>
        <v>188804677</v>
      </c>
      <c r="G70" s="166">
        <f>IF(F70="",0,AVERAGE(E70:F70))</f>
        <v>194893197</v>
      </c>
      <c r="H70" s="106"/>
      <c r="I70" s="97"/>
      <c r="J70" s="84"/>
      <c r="K70" s="75"/>
      <c r="L70" s="75"/>
      <c r="M70" s="75"/>
      <c r="N70" s="75"/>
    </row>
    <row r="71" spans="1:14" ht="12.75" customHeight="1">
      <c r="A71" s="94"/>
      <c r="B71" s="86"/>
      <c r="C71" s="364"/>
      <c r="D71" s="365"/>
      <c r="E71" s="72"/>
      <c r="F71" s="72"/>
      <c r="G71" s="166"/>
      <c r="H71" s="106"/>
      <c r="I71" s="97"/>
      <c r="J71" s="84"/>
      <c r="K71" s="75"/>
      <c r="L71" s="75"/>
      <c r="M71" s="75"/>
      <c r="N71" s="75"/>
    </row>
    <row r="72" spans="1:14" ht="12.75" customHeight="1">
      <c r="A72" s="366">
        <f>+A70+1</f>
        <v>27</v>
      </c>
      <c r="B72" s="367"/>
      <c r="C72" s="79" t="s">
        <v>659</v>
      </c>
      <c r="D72" s="83" t="str">
        <f>"(Line "&amp;A64&amp;" Above)"</f>
        <v>(Line 24 Above)</v>
      </c>
      <c r="E72" s="167">
        <f>+E64</f>
        <v>5478329</v>
      </c>
      <c r="F72" s="167">
        <f>+F64</f>
        <v>5259165</v>
      </c>
      <c r="G72" s="166">
        <f>IF(F72="",0,AVERAGE(E72:F72))</f>
        <v>5368747</v>
      </c>
      <c r="H72" s="106"/>
      <c r="I72" s="97"/>
      <c r="J72" s="84"/>
      <c r="K72" s="75"/>
      <c r="L72" s="75"/>
      <c r="M72" s="75"/>
      <c r="N72" s="75"/>
    </row>
    <row r="73" spans="1:14" ht="12.75" customHeight="1">
      <c r="A73" s="94"/>
      <c r="B73" s="86"/>
      <c r="C73" s="364"/>
      <c r="D73" s="365"/>
      <c r="E73" s="167"/>
      <c r="F73" s="167"/>
      <c r="G73" s="95"/>
      <c r="H73" s="106"/>
      <c r="I73" s="97"/>
      <c r="J73" s="84"/>
      <c r="K73" s="75"/>
      <c r="L73" s="75"/>
      <c r="M73" s="75"/>
      <c r="N73" s="75"/>
    </row>
    <row r="74" spans="1:14" ht="12.75" customHeight="1">
      <c r="A74" s="366">
        <f>+A72+1</f>
        <v>28</v>
      </c>
      <c r="B74" s="367"/>
      <c r="C74" s="79" t="s">
        <v>658</v>
      </c>
      <c r="D74" s="83" t="str">
        <f>"(Line "&amp;A70&amp;" - Line  "&amp;A72&amp;")"</f>
        <v>(Line 26 - Line  27)</v>
      </c>
      <c r="E74" s="118">
        <f>+E70-E72</f>
        <v>195503388</v>
      </c>
      <c r="F74" s="118">
        <f>+F70-F72</f>
        <v>183545512</v>
      </c>
      <c r="G74" s="306">
        <f>+G70-G72</f>
        <v>189524450</v>
      </c>
      <c r="H74" s="106"/>
      <c r="I74" s="97"/>
      <c r="J74" s="84"/>
      <c r="K74" s="75"/>
      <c r="L74" s="75"/>
      <c r="M74" s="75"/>
      <c r="N74" s="75"/>
    </row>
    <row r="75" spans="1:14" ht="12.75" customHeight="1">
      <c r="A75" s="94"/>
      <c r="B75" s="86"/>
      <c r="C75" s="364"/>
      <c r="D75" s="365"/>
      <c r="E75" s="167"/>
      <c r="F75" s="167"/>
      <c r="G75" s="95"/>
      <c r="H75" s="106"/>
      <c r="I75" s="97"/>
      <c r="J75" s="84"/>
      <c r="K75" s="75"/>
      <c r="L75" s="75"/>
      <c r="M75" s="75"/>
      <c r="N75" s="75"/>
    </row>
    <row r="76" spans="1:14" ht="12.75" customHeight="1">
      <c r="A76" s="108" t="s">
        <v>5</v>
      </c>
      <c r="B76" s="371"/>
      <c r="C76" s="372"/>
      <c r="D76" s="373"/>
      <c r="E76" s="78"/>
      <c r="F76" s="78"/>
      <c r="G76" s="95"/>
      <c r="H76" s="106"/>
      <c r="I76" s="97"/>
      <c r="J76" s="84"/>
      <c r="K76" s="75"/>
      <c r="L76" s="75"/>
      <c r="M76" s="75"/>
      <c r="N76" s="75"/>
    </row>
    <row r="77" spans="1:14" ht="12.75" customHeight="1">
      <c r="A77" s="374"/>
      <c r="B77" s="375"/>
      <c r="C77" s="376"/>
      <c r="D77" s="373"/>
      <c r="E77" s="84"/>
      <c r="F77" s="84"/>
      <c r="G77" s="95"/>
      <c r="H77" s="106"/>
      <c r="I77" s="97"/>
      <c r="J77" s="84"/>
      <c r="K77" s="75"/>
      <c r="L77" s="75"/>
      <c r="M77" s="75"/>
      <c r="N77" s="75"/>
    </row>
    <row r="78" spans="1:14" ht="12.75" customHeight="1">
      <c r="A78" s="374">
        <f>+A74+1</f>
        <v>29</v>
      </c>
      <c r="B78" s="377"/>
      <c r="C78" s="108" t="s">
        <v>5</v>
      </c>
      <c r="D78" s="378" t="s">
        <v>474</v>
      </c>
      <c r="E78" s="1060">
        <v>972246</v>
      </c>
      <c r="F78" s="1060">
        <v>972246</v>
      </c>
      <c r="G78" s="166">
        <f>IF(F78="",0,AVERAGE(E78:F78))</f>
        <v>972246</v>
      </c>
      <c r="H78" s="106"/>
      <c r="I78" s="97"/>
      <c r="J78" s="84"/>
      <c r="K78" s="75"/>
      <c r="L78" s="75"/>
      <c r="M78" s="75"/>
      <c r="N78" s="75"/>
    </row>
    <row r="79" spans="1:14" ht="12.75" customHeight="1">
      <c r="A79" s="368"/>
      <c r="B79" s="379"/>
      <c r="C79" s="379"/>
      <c r="D79" s="379"/>
      <c r="E79" s="78"/>
      <c r="F79" s="78"/>
      <c r="G79" s="95"/>
      <c r="H79" s="106"/>
      <c r="I79" s="97"/>
      <c r="J79" s="84"/>
      <c r="K79" s="75"/>
      <c r="L79" s="75"/>
      <c r="M79" s="75"/>
      <c r="N79" s="75"/>
    </row>
    <row r="80" spans="1:14" ht="12.75" customHeight="1">
      <c r="A80" s="366">
        <f>+A78+1</f>
        <v>30</v>
      </c>
      <c r="B80" s="380"/>
      <c r="C80" s="108" t="s">
        <v>472</v>
      </c>
      <c r="D80" s="407" t="s">
        <v>97</v>
      </c>
      <c r="E80" s="1060">
        <v>972246</v>
      </c>
      <c r="F80" s="1060">
        <v>972246</v>
      </c>
      <c r="G80" s="166">
        <f>IF(F80="",0,AVERAGE(E80:F80))</f>
        <v>972246</v>
      </c>
      <c r="H80" s="106"/>
      <c r="I80" s="97"/>
      <c r="J80" s="84"/>
      <c r="K80" s="75"/>
      <c r="L80" s="75"/>
      <c r="M80" s="75"/>
      <c r="N80" s="75"/>
    </row>
    <row r="81" spans="1:14" ht="12.75" customHeight="1">
      <c r="A81" s="286"/>
      <c r="B81" s="286"/>
      <c r="C81" s="286"/>
      <c r="D81" s="286"/>
      <c r="E81"/>
      <c r="F81"/>
      <c r="G81"/>
      <c r="H81" s="89"/>
      <c r="J81"/>
      <c r="K81"/>
      <c r="L81" s="75"/>
      <c r="M81" s="75"/>
      <c r="N81" s="75"/>
    </row>
    <row r="82" spans="1:14" ht="12.75" customHeight="1">
      <c r="A82" s="108" t="s">
        <v>311</v>
      </c>
      <c r="B82" s="286"/>
      <c r="C82" s="286"/>
      <c r="D82" s="286"/>
      <c r="E82"/>
      <c r="F82"/>
      <c r="G82"/>
      <c r="H82" s="22"/>
      <c r="I82" s="22"/>
      <c r="J82"/>
      <c r="K82"/>
      <c r="L82" s="75"/>
      <c r="M82" s="75"/>
      <c r="N82" s="75"/>
    </row>
    <row r="83" spans="1:10" ht="12.75">
      <c r="A83" s="376"/>
      <c r="B83" s="377"/>
      <c r="C83" s="377" t="s">
        <v>457</v>
      </c>
      <c r="D83" s="377"/>
      <c r="E83" s="89"/>
      <c r="F83" s="89"/>
      <c r="G83" s="89"/>
      <c r="H83" s="89"/>
      <c r="J83" s="89"/>
    </row>
    <row r="84" spans="1:10" ht="12.75">
      <c r="A84" s="374">
        <f>+A80+1</f>
        <v>31</v>
      </c>
      <c r="B84" s="377"/>
      <c r="C84" s="1061"/>
      <c r="D84" s="1061"/>
      <c r="E84" s="1060"/>
      <c r="F84" s="1060"/>
      <c r="G84" s="166">
        <f>IF(F84="",0,AVERAGE(E84:F84))</f>
        <v>0</v>
      </c>
      <c r="H84" s="89"/>
      <c r="J84" s="89"/>
    </row>
    <row r="85" spans="1:10" ht="12.75">
      <c r="A85" s="374">
        <f>+A84+1</f>
        <v>32</v>
      </c>
      <c r="B85" s="377"/>
      <c r="C85" s="1061"/>
      <c r="D85" s="1061"/>
      <c r="E85" s="1060"/>
      <c r="F85" s="1060"/>
      <c r="G85" s="166">
        <f>IF(F85="",0,AVERAGE(E85:F85))</f>
        <v>0</v>
      </c>
      <c r="H85" s="89"/>
      <c r="J85" s="89"/>
    </row>
    <row r="86" spans="1:10" ht="12.75">
      <c r="A86" s="374">
        <f>+A85+1</f>
        <v>33</v>
      </c>
      <c r="B86" s="377"/>
      <c r="C86" s="1061"/>
      <c r="D86" s="1061"/>
      <c r="E86" s="1060"/>
      <c r="F86" s="1060"/>
      <c r="G86" s="166">
        <f>IF(F86="",0,AVERAGE(E86:F86))</f>
        <v>0</v>
      </c>
      <c r="H86" s="89"/>
      <c r="J86" s="89"/>
    </row>
    <row r="87" spans="1:10" ht="12.75">
      <c r="A87" s="374">
        <f>+A86+1</f>
        <v>34</v>
      </c>
      <c r="B87" s="377"/>
      <c r="C87" s="1061"/>
      <c r="D87" s="1061"/>
      <c r="E87" s="1060"/>
      <c r="F87" s="1060"/>
      <c r="G87" s="166">
        <f>IF(F87="",0,AVERAGE(E87:F87))</f>
        <v>0</v>
      </c>
      <c r="H87" s="89"/>
      <c r="J87" s="89"/>
    </row>
    <row r="88" spans="1:10" ht="12.75">
      <c r="A88" s="374">
        <f>+A87+1</f>
        <v>35</v>
      </c>
      <c r="B88" s="377"/>
      <c r="C88" s="1061"/>
      <c r="D88" s="1061"/>
      <c r="E88" s="1062"/>
      <c r="F88" s="1062"/>
      <c r="G88" s="166">
        <f>IF(F88="",0,AVERAGE(E88:F88))</f>
        <v>0</v>
      </c>
      <c r="H88" s="89"/>
      <c r="J88" s="89"/>
    </row>
    <row r="89" spans="1:10" ht="12.75">
      <c r="A89" s="374">
        <f>+A88+1</f>
        <v>36</v>
      </c>
      <c r="B89" s="377"/>
      <c r="C89" s="377" t="s">
        <v>639</v>
      </c>
      <c r="D89" s="377"/>
      <c r="E89" s="219">
        <f>SUM(E84:E88)</f>
        <v>0</v>
      </c>
      <c r="F89" s="219">
        <f>SUM(F84:F88)</f>
        <v>0</v>
      </c>
      <c r="G89" s="219">
        <f>SUM(G84:G88)</f>
        <v>0</v>
      </c>
      <c r="H89" s="89"/>
      <c r="J89" s="89"/>
    </row>
    <row r="90" spans="1:10" ht="12.75">
      <c r="A90" s="374"/>
      <c r="B90" s="377"/>
      <c r="C90" s="377"/>
      <c r="D90" s="377"/>
      <c r="E90" s="89"/>
      <c r="F90" s="89"/>
      <c r="G90" s="89"/>
      <c r="H90" s="89"/>
      <c r="J90" s="89"/>
    </row>
    <row r="91" spans="1:10" ht="12.75">
      <c r="A91" s="374" t="s">
        <v>95</v>
      </c>
      <c r="B91" s="377" t="s">
        <v>96</v>
      </c>
      <c r="C91" s="377"/>
      <c r="D91" s="377"/>
      <c r="E91" s="89"/>
      <c r="F91" s="89"/>
      <c r="G91" s="89"/>
      <c r="H91" s="89"/>
      <c r="J91" s="89"/>
    </row>
    <row r="92" spans="1:10" ht="12.75">
      <c r="A92" s="374"/>
      <c r="B92" s="377"/>
      <c r="C92" s="377"/>
      <c r="D92" s="377"/>
      <c r="E92" s="89"/>
      <c r="F92" s="89"/>
      <c r="G92" s="89"/>
      <c r="H92" s="89"/>
      <c r="J92" s="89"/>
    </row>
    <row r="93" spans="1:10" ht="12.75">
      <c r="A93" s="381" t="s">
        <v>50</v>
      </c>
      <c r="B93" s="377"/>
      <c r="C93" s="377"/>
      <c r="D93" s="377"/>
      <c r="E93" s="89"/>
      <c r="F93" s="89"/>
      <c r="G93" s="89"/>
      <c r="H93" s="89"/>
      <c r="J93" s="89"/>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20"/>
  <sheetViews>
    <sheetView zoomScale="75" zoomScaleNormal="75" zoomScaleSheetLayoutView="100" zoomScalePageLayoutView="0" workbookViewId="0" topLeftCell="A22">
      <selection activeCell="G31" sqref="G31:G33"/>
    </sheetView>
  </sheetViews>
  <sheetFormatPr defaultColWidth="9.140625" defaultRowHeight="12.75"/>
  <cols>
    <col min="1" max="1" width="9.140625" style="33" customWidth="1"/>
    <col min="2" max="2" width="0.85546875" style="37" customWidth="1"/>
    <col min="3" max="3" width="41.57421875" style="33" customWidth="1"/>
    <col min="4" max="4" width="27.140625" style="33" customWidth="1"/>
    <col min="5" max="5" width="23.140625" style="33" customWidth="1"/>
    <col min="6" max="6" width="3.140625" style="33" customWidth="1"/>
    <col min="7" max="7" width="24.57421875" style="33" customWidth="1"/>
    <col min="8" max="8" width="2.8515625" style="33" customWidth="1"/>
    <col min="9" max="9" width="20.8515625" style="33" customWidth="1"/>
    <col min="10" max="10" width="4.7109375" style="33" customWidth="1"/>
    <col min="11" max="11" width="18.00390625" style="33" bestFit="1" customWidth="1"/>
    <col min="12" max="12" width="20.421875" style="33" customWidth="1"/>
    <col min="13" max="15" width="9.140625" style="33" customWidth="1"/>
    <col min="16" max="16" width="10.00390625" style="33" bestFit="1" customWidth="1"/>
    <col min="17" max="17" width="17.7109375" style="33" customWidth="1"/>
    <col min="18" max="18" width="15.57421875" style="33" bestFit="1" customWidth="1"/>
    <col min="19" max="16384" width="9.140625" style="33" customWidth="1"/>
  </cols>
  <sheetData>
    <row r="1" spans="1:11" ht="15">
      <c r="A1" s="1203" t="s">
        <v>491</v>
      </c>
      <c r="B1" s="1203"/>
      <c r="C1" s="1203"/>
      <c r="D1" s="1203"/>
      <c r="E1" s="1203"/>
      <c r="F1" s="1203"/>
      <c r="G1" s="1203"/>
      <c r="H1" s="1203"/>
      <c r="I1" s="1203"/>
      <c r="J1" s="41"/>
      <c r="K1" s="41"/>
    </row>
    <row r="2" spans="1:11" ht="15">
      <c r="A2" s="1202" t="str">
        <f>"Cost of Service Formula Rate Using Actual/Projected FF1 Balances"</f>
        <v>Cost of Service Formula Rate Using Actual/Projected FF1 Balances</v>
      </c>
      <c r="B2" s="1202"/>
      <c r="C2" s="1202"/>
      <c r="D2" s="1202"/>
      <c r="E2" s="1202"/>
      <c r="F2" s="1202"/>
      <c r="G2" s="1202"/>
      <c r="H2" s="1202"/>
      <c r="I2" s="1202"/>
      <c r="J2" s="116"/>
      <c r="K2" s="116"/>
    </row>
    <row r="3" spans="1:11" ht="15">
      <c r="A3" s="1202" t="s">
        <v>597</v>
      </c>
      <c r="B3" s="1202"/>
      <c r="C3" s="1202"/>
      <c r="D3" s="1202"/>
      <c r="E3" s="1202"/>
      <c r="F3" s="1202"/>
      <c r="G3" s="1202"/>
      <c r="H3" s="1202"/>
      <c r="I3" s="1202"/>
      <c r="J3" s="115"/>
      <c r="K3" s="115"/>
    </row>
    <row r="4" spans="1:13" ht="15">
      <c r="A4" s="1206" t="str">
        <f>+'KP WS A  - RB Support '!A4:F4</f>
        <v>KENTUCKY POWER COMPANY</v>
      </c>
      <c r="B4" s="1206"/>
      <c r="C4" s="1206"/>
      <c r="D4" s="1206"/>
      <c r="E4" s="1206"/>
      <c r="F4" s="1206"/>
      <c r="G4" s="1206"/>
      <c r="H4" s="1206"/>
      <c r="I4" s="1206"/>
      <c r="J4" s="4"/>
      <c r="K4" s="4"/>
      <c r="L4"/>
      <c r="M4"/>
    </row>
    <row r="5" spans="3:4" ht="12.75">
      <c r="C5" s="35"/>
      <c r="D5" s="35"/>
    </row>
    <row r="6" spans="3:15" ht="12.75">
      <c r="C6" s="9" t="s">
        <v>194</v>
      </c>
      <c r="D6" s="9" t="s">
        <v>195</v>
      </c>
      <c r="E6" s="9" t="s">
        <v>196</v>
      </c>
      <c r="G6" s="9" t="s">
        <v>197</v>
      </c>
      <c r="I6" s="9" t="s">
        <v>115</v>
      </c>
      <c r="J6" s="9"/>
      <c r="K6" s="9"/>
      <c r="L6" s="9"/>
      <c r="M6"/>
      <c r="N6"/>
      <c r="O6"/>
    </row>
    <row r="7" spans="1:15" ht="12.75">
      <c r="A7" s="113"/>
      <c r="I7" s="15"/>
      <c r="J7"/>
      <c r="K7"/>
      <c r="L7"/>
      <c r="M7"/>
      <c r="N7"/>
      <c r="O7"/>
    </row>
    <row r="8" spans="1:15" ht="12.75" customHeight="1">
      <c r="A8" s="13" t="s">
        <v>201</v>
      </c>
      <c r="C8" s="36"/>
      <c r="D8" s="36"/>
      <c r="E8" s="1205" t="str">
        <f>"Balance @ December 31, "&amp;'KP TCOS'!L2&amp;""</f>
        <v>Balance @ December 31, 2017</v>
      </c>
      <c r="F8" s="170"/>
      <c r="G8" s="1205" t="str">
        <f>"Balance @ December 31, "&amp;'KP TCOS'!L2-1&amp;""</f>
        <v>Balance @ December 31, 2016</v>
      </c>
      <c r="H8" s="170"/>
      <c r="I8" s="1200" t="str">
        <f>"Average Balance for "&amp;'KP TCOS'!L2&amp;""</f>
        <v>Average Balance for 2017</v>
      </c>
      <c r="J8"/>
      <c r="K8"/>
      <c r="L8"/>
      <c r="M8"/>
      <c r="N8"/>
      <c r="O8"/>
    </row>
    <row r="9" spans="1:15" ht="12.75">
      <c r="A9" s="13" t="s">
        <v>137</v>
      </c>
      <c r="B9" s="12"/>
      <c r="C9" s="13" t="s">
        <v>199</v>
      </c>
      <c r="D9" s="13" t="s">
        <v>264</v>
      </c>
      <c r="E9" s="1201"/>
      <c r="F9" s="98"/>
      <c r="G9" s="1201"/>
      <c r="H9" s="285"/>
      <c r="I9" s="1201"/>
      <c r="J9"/>
      <c r="K9"/>
      <c r="L9"/>
      <c r="M9"/>
      <c r="N9"/>
      <c r="O9"/>
    </row>
    <row r="10" spans="1:11" ht="12.75">
      <c r="A10" s="113"/>
      <c r="C10" s="35"/>
      <c r="D10" s="35"/>
      <c r="G10" s="296"/>
      <c r="J10" s="27"/>
      <c r="K10" s="27"/>
    </row>
    <row r="11" spans="1:11" ht="12.75">
      <c r="A11" s="113"/>
      <c r="C11" s="35"/>
      <c r="D11" s="35"/>
      <c r="J11" s="27"/>
      <c r="K11" s="27"/>
    </row>
    <row r="12" spans="1:11" ht="12.75">
      <c r="A12" s="113"/>
      <c r="C12" s="35"/>
      <c r="D12" s="35"/>
      <c r="J12" s="27"/>
      <c r="K12" s="27"/>
    </row>
    <row r="13" spans="1:11" ht="15.75">
      <c r="A13" s="113">
        <v>1</v>
      </c>
      <c r="C13" s="63" t="s">
        <v>651</v>
      </c>
      <c r="D13" s="63"/>
      <c r="J13" s="27"/>
      <c r="K13" s="27"/>
    </row>
    <row r="14" spans="1:11" ht="15.75">
      <c r="A14" s="113"/>
      <c r="C14" s="63"/>
      <c r="D14" s="63"/>
      <c r="H14"/>
      <c r="J14" s="27"/>
      <c r="K14" s="27"/>
    </row>
    <row r="15" spans="1:11" ht="12.75">
      <c r="A15" s="113">
        <f>+A13+1</f>
        <v>2</v>
      </c>
      <c r="C15" s="65" t="s">
        <v>662</v>
      </c>
      <c r="D15" s="96" t="s">
        <v>664</v>
      </c>
      <c r="E15" s="1150">
        <v>59886663.07560742</v>
      </c>
      <c r="G15" s="1160">
        <v>58282270.9</v>
      </c>
      <c r="H15"/>
      <c r="I15" s="166">
        <f>IF(G15="",0,(E15+G15)/2)</f>
        <v>59084466.98780371</v>
      </c>
      <c r="J15" s="27"/>
      <c r="K15" s="27"/>
    </row>
    <row r="16" spans="1:11" ht="12.75">
      <c r="A16" s="113">
        <f>+A15+1</f>
        <v>3</v>
      </c>
      <c r="C16" s="65" t="s">
        <v>666</v>
      </c>
      <c r="D16" s="406" t="s">
        <v>97</v>
      </c>
      <c r="E16" s="1150">
        <v>0</v>
      </c>
      <c r="G16" s="1160">
        <v>0</v>
      </c>
      <c r="H16"/>
      <c r="I16" s="166">
        <f>IF(G16="",0,(E16+G16)/2)</f>
        <v>0</v>
      </c>
      <c r="J16" s="27"/>
      <c r="K16" s="27"/>
    </row>
    <row r="17" spans="1:11" ht="15">
      <c r="A17" s="113">
        <f>+A16+1</f>
        <v>4</v>
      </c>
      <c r="C17" s="65" t="s">
        <v>667</v>
      </c>
      <c r="D17" s="406" t="s">
        <v>97</v>
      </c>
      <c r="E17" s="1151">
        <v>59886663.07560742</v>
      </c>
      <c r="G17" s="1161">
        <v>58282270.9</v>
      </c>
      <c r="I17" s="259">
        <f>IF(G17="",0,(E17+G17)/2)</f>
        <v>59084466.98780371</v>
      </c>
      <c r="J17" s="27"/>
      <c r="K17" s="27"/>
    </row>
    <row r="18" spans="1:11" ht="12.75">
      <c r="A18" s="113">
        <f>+A17+1</f>
        <v>5</v>
      </c>
      <c r="C18" s="65" t="s">
        <v>663</v>
      </c>
      <c r="D18" s="171" t="str">
        <f>"Ln "&amp;A15&amp;" - ln "&amp;A16&amp;" - ln "&amp;A17&amp;""</f>
        <v>Ln 2 - ln 3 - ln 4</v>
      </c>
      <c r="E18" s="28">
        <f>+E15-E16-E17</f>
        <v>0</v>
      </c>
      <c r="G18" s="28">
        <f>+G15-G16-G17</f>
        <v>0</v>
      </c>
      <c r="I18" s="166">
        <f>+I15-I16-I17</f>
        <v>0</v>
      </c>
      <c r="J18" s="27"/>
      <c r="K18" s="27"/>
    </row>
    <row r="19" spans="1:11" ht="12.75">
      <c r="A19" s="113"/>
      <c r="C19" s="65"/>
      <c r="D19" s="171"/>
      <c r="J19" s="27"/>
      <c r="K19" s="27"/>
    </row>
    <row r="20" spans="1:11" ht="12.75">
      <c r="A20" s="113"/>
      <c r="C20" s="65"/>
      <c r="D20" s="171"/>
      <c r="J20" s="27"/>
      <c r="K20" s="27"/>
    </row>
    <row r="21" spans="1:11" ht="15.75">
      <c r="A21" s="113">
        <f>+A18+1</f>
        <v>6</v>
      </c>
      <c r="C21" s="63" t="s">
        <v>652</v>
      </c>
      <c r="D21" s="171"/>
      <c r="J21" s="27"/>
      <c r="K21" s="27"/>
    </row>
    <row r="22" spans="1:11" ht="12.75">
      <c r="A22" s="113"/>
      <c r="C22" s="65"/>
      <c r="D22" s="171"/>
      <c r="J22" s="27"/>
      <c r="K22" s="27"/>
    </row>
    <row r="23" spans="1:11" ht="12.75">
      <c r="A23" s="113">
        <f>+A21+1</f>
        <v>7</v>
      </c>
      <c r="C23" s="65" t="s">
        <v>662</v>
      </c>
      <c r="D23" s="96" t="s">
        <v>575</v>
      </c>
      <c r="E23" s="1162">
        <v>404432488.1904782</v>
      </c>
      <c r="G23" s="1164">
        <v>395059616.21000004</v>
      </c>
      <c r="H23"/>
      <c r="I23" s="166">
        <f>IF(G23="",0,(E23+G23)/2)</f>
        <v>399746052.2002391</v>
      </c>
      <c r="J23" s="27"/>
      <c r="K23" s="27"/>
    </row>
    <row r="24" spans="1:11" ht="12.75">
      <c r="A24" s="113">
        <f>+A23+1</f>
        <v>8</v>
      </c>
      <c r="C24" s="65" t="s">
        <v>666</v>
      </c>
      <c r="D24" s="406" t="s">
        <v>97</v>
      </c>
      <c r="E24" s="1162">
        <v>24695530</v>
      </c>
      <c r="G24" s="1164">
        <v>24695530</v>
      </c>
      <c r="H24"/>
      <c r="I24" s="166">
        <f>IF(G24="",0,(E24+G24)/2)</f>
        <v>24695530</v>
      </c>
      <c r="J24" s="27"/>
      <c r="K24" s="27"/>
    </row>
    <row r="25" spans="1:11" ht="15">
      <c r="A25" s="113">
        <f>+A24+1</f>
        <v>9</v>
      </c>
      <c r="C25" s="65" t="s">
        <v>667</v>
      </c>
      <c r="D25" s="406" t="s">
        <v>97</v>
      </c>
      <c r="E25" s="1163">
        <v>295564009.183541</v>
      </c>
      <c r="G25" s="1165">
        <v>287251004.26000005</v>
      </c>
      <c r="I25" s="259">
        <f>IF(G25="",0,(E25+G25)/2)</f>
        <v>291407506.7217705</v>
      </c>
      <c r="J25" s="27"/>
      <c r="K25" s="27"/>
    </row>
    <row r="26" spans="1:11" ht="12.75">
      <c r="A26" s="113">
        <f>+A25+1</f>
        <v>10</v>
      </c>
      <c r="C26" s="65" t="s">
        <v>663</v>
      </c>
      <c r="D26" s="171" t="str">
        <f>"Ln "&amp;A23&amp;" - ln "&amp;A24&amp;" - ln "&amp;A25&amp;""</f>
        <v>Ln 7 - ln 8 - ln 9</v>
      </c>
      <c r="E26" s="28">
        <f>+E23-E24-E25</f>
        <v>84172949.0069372</v>
      </c>
      <c r="G26" s="28">
        <f>+G23-G24-G25</f>
        <v>83113081.94999999</v>
      </c>
      <c r="I26" s="166">
        <f>+I23-I24-I25</f>
        <v>83643015.4784686</v>
      </c>
      <c r="J26" s="27"/>
      <c r="K26" s="27" t="s">
        <v>146</v>
      </c>
    </row>
    <row r="27" spans="1:11" ht="12.75">
      <c r="A27" s="113"/>
      <c r="C27" s="65"/>
      <c r="D27" s="171"/>
      <c r="J27" s="27"/>
      <c r="K27" s="27"/>
    </row>
    <row r="28" spans="1:11" ht="12.75">
      <c r="A28" s="113"/>
      <c r="C28" s="65"/>
      <c r="D28" s="171"/>
      <c r="E28" s="168"/>
      <c r="G28" s="168"/>
      <c r="J28" s="27"/>
      <c r="K28" s="27"/>
    </row>
    <row r="29" spans="1:11" ht="15.75">
      <c r="A29" s="113">
        <f>+A26+1</f>
        <v>11</v>
      </c>
      <c r="C29" s="63" t="s">
        <v>653</v>
      </c>
      <c r="D29" s="171"/>
      <c r="J29" s="27"/>
      <c r="K29" s="27"/>
    </row>
    <row r="30" spans="1:11" ht="15.75">
      <c r="A30" s="113"/>
      <c r="C30" s="63"/>
      <c r="D30" s="171"/>
      <c r="J30" s="27"/>
      <c r="K30" s="27"/>
    </row>
    <row r="31" spans="1:11" ht="12.75">
      <c r="A31" s="113">
        <f>+A29+1</f>
        <v>12</v>
      </c>
      <c r="C31" s="65" t="s">
        <v>662</v>
      </c>
      <c r="D31" s="96" t="s">
        <v>665</v>
      </c>
      <c r="E31" s="1166">
        <v>275925657.7339144</v>
      </c>
      <c r="G31" s="1168">
        <v>272727949.12</v>
      </c>
      <c r="H31"/>
      <c r="I31" s="166">
        <f>IF(G31="",0,(E31+G31)/2)</f>
        <v>274326803.4269572</v>
      </c>
      <c r="J31" s="27"/>
      <c r="K31" s="27"/>
    </row>
    <row r="32" spans="1:11" ht="12.75">
      <c r="A32" s="113">
        <f>+A31+1</f>
        <v>13</v>
      </c>
      <c r="C32" s="65" t="s">
        <v>666</v>
      </c>
      <c r="D32" s="406" t="s">
        <v>97</v>
      </c>
      <c r="E32" s="1166">
        <v>22984712</v>
      </c>
      <c r="G32" s="1168">
        <v>22984712</v>
      </c>
      <c r="H32"/>
      <c r="I32" s="166">
        <f>IF(G32="",0,(E32+G32)/2)</f>
        <v>22984712</v>
      </c>
      <c r="J32" s="27"/>
      <c r="K32" s="27"/>
    </row>
    <row r="33" spans="1:11" ht="15">
      <c r="A33" s="113">
        <f>+A32+1</f>
        <v>14</v>
      </c>
      <c r="C33" s="65" t="s">
        <v>667</v>
      </c>
      <c r="D33" s="406" t="s">
        <v>97</v>
      </c>
      <c r="E33" s="1167">
        <v>251690087.67129356</v>
      </c>
      <c r="G33" s="1169">
        <v>248526244.24</v>
      </c>
      <c r="I33" s="259">
        <f>IF(G33="",0,(E33+G33)/2)</f>
        <v>250108165.95564678</v>
      </c>
      <c r="J33" s="27"/>
      <c r="K33" s="27"/>
    </row>
    <row r="34" spans="1:11" ht="12.75">
      <c r="A34" s="113">
        <f>+A33+1</f>
        <v>15</v>
      </c>
      <c r="C34" s="65" t="s">
        <v>663</v>
      </c>
      <c r="D34" s="171" t="str">
        <f>"Ln "&amp;A31&amp;" - ln "&amp;A32&amp;" - ln "&amp;A33&amp;""</f>
        <v>Ln 12 - ln 13 - ln 14</v>
      </c>
      <c r="E34" s="28">
        <f>+E31-E32-E33</f>
        <v>1250858.0626208186</v>
      </c>
      <c r="G34" s="28">
        <f>+G31-G32-G33</f>
        <v>1216992.8799999952</v>
      </c>
      <c r="I34" s="166">
        <f>+I31-I32-I33</f>
        <v>1233925.471310407</v>
      </c>
      <c r="J34" s="27"/>
      <c r="K34" s="27"/>
    </row>
    <row r="35" spans="1:11" ht="15.75">
      <c r="A35" s="113"/>
      <c r="C35" s="63"/>
      <c r="D35" s="171"/>
      <c r="J35" s="27"/>
      <c r="K35" s="27"/>
    </row>
    <row r="36" spans="1:11" ht="12.75">
      <c r="A36" s="113"/>
      <c r="C36" s="65"/>
      <c r="D36" s="171"/>
      <c r="J36" s="27"/>
      <c r="K36" s="27"/>
    </row>
    <row r="37" spans="1:11" ht="15.75">
      <c r="A37" s="113">
        <f>+A34+1</f>
        <v>16</v>
      </c>
      <c r="C37" s="63" t="s">
        <v>654</v>
      </c>
      <c r="D37" s="171"/>
      <c r="J37" s="27"/>
      <c r="K37" s="27"/>
    </row>
    <row r="38" spans="1:11" ht="12.75">
      <c r="A38" s="113"/>
      <c r="C38" s="65"/>
      <c r="D38" s="171"/>
      <c r="J38" s="27"/>
      <c r="K38" s="27"/>
    </row>
    <row r="39" spans="1:11" ht="12.75">
      <c r="A39" s="113">
        <f>+A37+1</f>
        <v>17</v>
      </c>
      <c r="C39" s="65" t="s">
        <v>662</v>
      </c>
      <c r="D39" s="96" t="s">
        <v>656</v>
      </c>
      <c r="E39" s="1152">
        <v>57873322.35000001</v>
      </c>
      <c r="G39" s="1154">
        <v>57873322.28</v>
      </c>
      <c r="H39"/>
      <c r="I39" s="166">
        <f>IF(G39="",0,(E39+G39)/2)</f>
        <v>57873322.315000005</v>
      </c>
      <c r="J39" s="27"/>
      <c r="K39" s="27"/>
    </row>
    <row r="40" spans="1:11" ht="12.75">
      <c r="A40" s="113">
        <f>+A39+1</f>
        <v>18</v>
      </c>
      <c r="C40" s="65" t="s">
        <v>666</v>
      </c>
      <c r="D40" s="406" t="s">
        <v>97</v>
      </c>
      <c r="E40" s="1152">
        <v>25204320</v>
      </c>
      <c r="G40" s="1154">
        <v>25204320</v>
      </c>
      <c r="H40"/>
      <c r="I40" s="166">
        <f>IF(G40="",0,(E40+G40)/2)</f>
        <v>25204320</v>
      </c>
      <c r="J40" s="27"/>
      <c r="K40" s="27"/>
    </row>
    <row r="41" spans="1:11" ht="15">
      <c r="A41" s="113">
        <f>+A40+1</f>
        <v>19</v>
      </c>
      <c r="C41" s="65" t="s">
        <v>667</v>
      </c>
      <c r="D41" s="406" t="s">
        <v>97</v>
      </c>
      <c r="E41" s="1153">
        <v>28973213.75692557</v>
      </c>
      <c r="G41" s="1155">
        <v>28973213.700000003</v>
      </c>
      <c r="I41" s="259">
        <f>IF(G41="",0,(E41+G41)/2)</f>
        <v>28973213.728462785</v>
      </c>
      <c r="J41" s="27"/>
      <c r="K41" s="27"/>
    </row>
    <row r="42" spans="1:11" ht="12.75">
      <c r="A42" s="113">
        <f>+A41+1</f>
        <v>20</v>
      </c>
      <c r="C42" s="65" t="s">
        <v>663</v>
      </c>
      <c r="D42" s="171" t="str">
        <f>"Ln "&amp;A39&amp;" - ln "&amp;A40&amp;" - ln "&amp;A41&amp;""</f>
        <v>Ln 17 - ln 18 - ln 19</v>
      </c>
      <c r="E42" s="28">
        <f>+E39-E40-E41</f>
        <v>3695788.593074437</v>
      </c>
      <c r="G42" s="28">
        <f>+G39-G40-G41</f>
        <v>3695788.579999998</v>
      </c>
      <c r="I42" s="166">
        <f>+I39-I40-I41</f>
        <v>3695788.5865372196</v>
      </c>
      <c r="J42" s="27"/>
      <c r="K42" s="27"/>
    </row>
    <row r="43" spans="1:11" ht="12.75">
      <c r="A43" s="113"/>
      <c r="C43" s="65"/>
      <c r="D43" s="171"/>
      <c r="J43" s="27"/>
      <c r="K43" s="27"/>
    </row>
    <row r="44" spans="1:11" ht="12.75">
      <c r="A44" s="113"/>
      <c r="C44" s="65"/>
      <c r="D44" s="171"/>
      <c r="J44" s="27"/>
      <c r="K44" s="27"/>
    </row>
    <row r="45" spans="1:11" ht="15.75">
      <c r="A45" s="113">
        <f>+A42+1</f>
        <v>21</v>
      </c>
      <c r="C45" s="63" t="s">
        <v>655</v>
      </c>
      <c r="D45" s="171"/>
      <c r="J45" s="27"/>
      <c r="K45" s="27"/>
    </row>
    <row r="46" spans="1:11" ht="12.75">
      <c r="A46" s="113"/>
      <c r="C46" s="65"/>
      <c r="D46" s="171"/>
      <c r="J46" s="27"/>
      <c r="K46" s="27"/>
    </row>
    <row r="47" spans="1:11" ht="12.75">
      <c r="A47" s="113">
        <f>+A45+1</f>
        <v>22</v>
      </c>
      <c r="C47" s="65" t="s">
        <v>668</v>
      </c>
      <c r="D47" s="96" t="s">
        <v>596</v>
      </c>
      <c r="E47" s="1156">
        <v>410</v>
      </c>
      <c r="G47" s="1158">
        <v>1420</v>
      </c>
      <c r="H47"/>
      <c r="I47" s="166">
        <f>IF(G47="",0,(E47+G47)/2)</f>
        <v>915</v>
      </c>
      <c r="J47" s="27"/>
      <c r="K47" s="27"/>
    </row>
    <row r="48" spans="1:11" ht="15">
      <c r="A48" s="113">
        <f>+A47+1</f>
        <v>23</v>
      </c>
      <c r="C48" s="65" t="s">
        <v>669</v>
      </c>
      <c r="D48" s="406" t="s">
        <v>97</v>
      </c>
      <c r="E48" s="1157">
        <v>410</v>
      </c>
      <c r="G48" s="1159">
        <v>1420</v>
      </c>
      <c r="H48"/>
      <c r="I48" s="259">
        <f>IF(G48="",0,(E48+G48)/2)</f>
        <v>915</v>
      </c>
      <c r="J48" s="27"/>
      <c r="K48" s="27"/>
    </row>
    <row r="49" spans="1:11" ht="12.75">
      <c r="A49" s="113">
        <f>+A48+1</f>
        <v>24</v>
      </c>
      <c r="C49" s="65" t="s">
        <v>492</v>
      </c>
      <c r="D49" s="171" t="str">
        <f>"Ln "&amp;A47&amp;" - ln "&amp;A48&amp;""</f>
        <v>Ln 22 - ln 23</v>
      </c>
      <c r="E49" s="28">
        <f>+E47-E48</f>
        <v>0</v>
      </c>
      <c r="G49" s="28">
        <f>+G47-G48</f>
        <v>0</v>
      </c>
      <c r="H49"/>
      <c r="I49" s="166">
        <f>+I47-I48</f>
        <v>0</v>
      </c>
      <c r="J49" s="27"/>
      <c r="K49" s="27"/>
    </row>
    <row r="50" spans="1:11" ht="12.75">
      <c r="A50" s="113">
        <f>+A49+1</f>
        <v>25</v>
      </c>
      <c r="C50" s="65" t="s">
        <v>663</v>
      </c>
      <c r="D50" s="406" t="s">
        <v>97</v>
      </c>
      <c r="E50" s="1063">
        <v>0</v>
      </c>
      <c r="G50" s="1063">
        <v>0</v>
      </c>
      <c r="H50"/>
      <c r="I50" s="166">
        <f>IF(G50="",0,(E50+G50)/2)</f>
        <v>0</v>
      </c>
      <c r="J50" s="27"/>
      <c r="K50" s="27"/>
    </row>
    <row r="51" spans="1:11" ht="12.75">
      <c r="A51" s="113"/>
      <c r="C51" s="65"/>
      <c r="D51" s="65"/>
      <c r="J51" s="27"/>
      <c r="K51" s="27"/>
    </row>
    <row r="52" spans="1:11" ht="12.75">
      <c r="A52" s="94" t="s">
        <v>98</v>
      </c>
      <c r="B52" s="89" t="s">
        <v>715</v>
      </c>
      <c r="C52" s="65"/>
      <c r="D52" s="65"/>
      <c r="J52" s="27"/>
      <c r="K52" s="27"/>
    </row>
    <row r="53" spans="1:4" ht="12.75">
      <c r="A53" s="113"/>
      <c r="C53" s="65"/>
      <c r="D53" s="65"/>
    </row>
    <row r="54" spans="1:4" ht="12.75">
      <c r="A54" s="113" t="s">
        <v>99</v>
      </c>
      <c r="B54" s="37" t="s">
        <v>100</v>
      </c>
      <c r="C54" s="65"/>
      <c r="D54" s="65"/>
    </row>
    <row r="55" spans="2:11" ht="12.75">
      <c r="B55" s="7"/>
      <c r="C55" s="7"/>
      <c r="D55" s="7"/>
      <c r="E55" s="7"/>
      <c r="F55" s="7"/>
      <c r="G55" s="7"/>
      <c r="H55" s="7"/>
      <c r="I55" s="7"/>
      <c r="J55" s="7"/>
      <c r="K55" s="7"/>
    </row>
    <row r="56" spans="2:11" ht="12.75">
      <c r="B56" s="7"/>
      <c r="C56" s="7"/>
      <c r="D56" s="7"/>
      <c r="E56" s="7"/>
      <c r="F56" s="7"/>
      <c r="G56" s="7"/>
      <c r="H56" s="7"/>
      <c r="I56" s="7"/>
      <c r="J56" s="7"/>
      <c r="K56" s="7"/>
    </row>
    <row r="57" spans="2:11" ht="12.75">
      <c r="B57" s="7"/>
      <c r="C57" s="7"/>
      <c r="D57" s="7"/>
      <c r="E57" s="7"/>
      <c r="F57" s="7"/>
      <c r="G57" s="7"/>
      <c r="H57" s="7"/>
      <c r="I57" s="7"/>
      <c r="J57" s="7"/>
      <c r="K57" s="7"/>
    </row>
    <row r="58" spans="2:11" ht="12.75">
      <c r="B58" s="7"/>
      <c r="C58" s="7"/>
      <c r="D58" s="7"/>
      <c r="E58" s="7"/>
      <c r="F58" s="7"/>
      <c r="G58" s="7"/>
      <c r="H58" s="7"/>
      <c r="I58" s="7"/>
      <c r="J58" s="7"/>
      <c r="K58" s="7"/>
    </row>
    <row r="59" spans="2:11" ht="12.75">
      <c r="B59" s="7"/>
      <c r="C59" s="7"/>
      <c r="D59" s="7"/>
      <c r="E59" s="7"/>
      <c r="F59" s="7"/>
      <c r="G59" s="7"/>
      <c r="H59" s="7"/>
      <c r="I59" s="7"/>
      <c r="J59" s="7"/>
      <c r="K59" s="7"/>
    </row>
    <row r="60" spans="2:12" ht="12.75">
      <c r="B60" s="7"/>
      <c r="C60" s="7"/>
      <c r="D60" s="7"/>
      <c r="E60" s="7"/>
      <c r="F60" s="7"/>
      <c r="G60" s="7"/>
      <c r="H60" s="7"/>
      <c r="I60" s="7"/>
      <c r="J60" s="7"/>
      <c r="K60" s="7"/>
      <c r="L60" s="7"/>
    </row>
    <row r="61" spans="2:12" ht="12.75">
      <c r="B61" s="7"/>
      <c r="C61" s="7"/>
      <c r="D61" s="7"/>
      <c r="E61" s="7"/>
      <c r="F61" s="7"/>
      <c r="G61" s="7"/>
      <c r="H61" s="7"/>
      <c r="I61" s="7"/>
      <c r="J61" s="7"/>
      <c r="K61" s="7"/>
      <c r="L61" s="7"/>
    </row>
    <row r="62" spans="2:12" ht="12.75">
      <c r="B62" s="7"/>
      <c r="C62" s="7"/>
      <c r="D62" s="7"/>
      <c r="E62" s="7"/>
      <c r="F62" s="7"/>
      <c r="G62" s="7"/>
      <c r="H62" s="7"/>
      <c r="I62" s="7"/>
      <c r="J62" s="7"/>
      <c r="K62" s="7"/>
      <c r="L62" s="7"/>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4.25" customHeight="1">
      <c r="B187" s="7"/>
      <c r="C187" s="7"/>
      <c r="D187" s="7"/>
      <c r="E187" s="7"/>
      <c r="F187" s="7"/>
      <c r="G187" s="7"/>
      <c r="H187" s="7"/>
      <c r="I187" s="7"/>
      <c r="J187" s="7"/>
      <c r="K187" s="7"/>
      <c r="L187" s="7"/>
    </row>
    <row r="188" spans="2:12" ht="12.75" customHeight="1">
      <c r="B188" s="7"/>
      <c r="C188" s="7"/>
      <c r="D188" s="7"/>
      <c r="E188" s="7"/>
      <c r="F188" s="7"/>
      <c r="G188" s="7"/>
      <c r="H188" s="7"/>
      <c r="I188" s="7"/>
      <c r="J188" s="7"/>
      <c r="K188" s="7"/>
      <c r="L188" s="7"/>
    </row>
    <row r="189" spans="2:12" ht="12.75" customHeight="1">
      <c r="B189" s="7"/>
      <c r="C189" s="7"/>
      <c r="D189" s="7"/>
      <c r="E189" s="7"/>
      <c r="F189" s="7"/>
      <c r="G189" s="7"/>
      <c r="H189" s="7"/>
      <c r="I189" s="7"/>
      <c r="J189" s="7"/>
      <c r="K189" s="7"/>
      <c r="L189" s="7"/>
    </row>
    <row r="190" spans="2:12" ht="12.75" customHeight="1">
      <c r="B190" s="7"/>
      <c r="C190" s="7"/>
      <c r="D190" s="7"/>
      <c r="E190" s="7"/>
      <c r="F190" s="7"/>
      <c r="G190" s="7"/>
      <c r="H190" s="7"/>
      <c r="I190" s="7"/>
      <c r="J190" s="7"/>
      <c r="K190" s="7"/>
      <c r="L190" s="7"/>
    </row>
    <row r="191" spans="2:12" ht="12.75" customHeight="1">
      <c r="B191" s="7"/>
      <c r="C191" s="7"/>
      <c r="D191" s="7"/>
      <c r="E191" s="7"/>
      <c r="F191" s="7"/>
      <c r="G191" s="7"/>
      <c r="H191" s="7"/>
      <c r="I191" s="7"/>
      <c r="J191" s="7"/>
      <c r="K191" s="7"/>
      <c r="L191" s="7"/>
    </row>
    <row r="192" spans="2:12" ht="12.75" customHeight="1">
      <c r="B192" s="7"/>
      <c r="C192" s="7"/>
      <c r="D192" s="7"/>
      <c r="E192" s="7"/>
      <c r="F192" s="7"/>
      <c r="G192" s="7"/>
      <c r="H192" s="7"/>
      <c r="I192" s="7"/>
      <c r="J192" s="7"/>
      <c r="K192" s="7"/>
      <c r="L192" s="7"/>
    </row>
    <row r="193" spans="2:12" ht="12.75" customHeight="1">
      <c r="B193" s="7"/>
      <c r="C193" s="7"/>
      <c r="D193" s="7"/>
      <c r="E193" s="7"/>
      <c r="F193" s="7"/>
      <c r="G193" s="7"/>
      <c r="H193" s="7"/>
      <c r="I193" s="7"/>
      <c r="J193" s="7"/>
      <c r="K193" s="7"/>
      <c r="L193" s="7"/>
    </row>
    <row r="194" spans="2:12" ht="12.75" customHeight="1">
      <c r="B194" s="7"/>
      <c r="C194" s="7"/>
      <c r="D194" s="7"/>
      <c r="E194" s="7"/>
      <c r="F194" s="7"/>
      <c r="G194" s="7"/>
      <c r="H194" s="7"/>
      <c r="I194" s="7"/>
      <c r="J194" s="7"/>
      <c r="K194" s="7"/>
      <c r="L194" s="7"/>
    </row>
    <row r="195" spans="2:12" ht="12.75" customHeight="1">
      <c r="B195" s="7"/>
      <c r="C195" s="7"/>
      <c r="D195" s="7"/>
      <c r="E195" s="7"/>
      <c r="F195" s="7"/>
      <c r="G195" s="7"/>
      <c r="H195" s="7"/>
      <c r="I195" s="7"/>
      <c r="J195" s="7"/>
      <c r="K195" s="7"/>
      <c r="L195" s="7"/>
    </row>
    <row r="196" spans="2:12" ht="12.75" customHeight="1">
      <c r="B196" s="7"/>
      <c r="C196" s="7"/>
      <c r="D196" s="7"/>
      <c r="E196" s="7"/>
      <c r="F196" s="7"/>
      <c r="G196" s="7"/>
      <c r="H196" s="7"/>
      <c r="I196" s="7"/>
      <c r="J196" s="7"/>
      <c r="K196" s="7"/>
      <c r="L196" s="7"/>
    </row>
    <row r="197" spans="2:12" ht="12.75" customHeight="1">
      <c r="B197" s="7"/>
      <c r="C197" s="7"/>
      <c r="D197" s="7"/>
      <c r="E197" s="7"/>
      <c r="F197" s="7"/>
      <c r="G197" s="7"/>
      <c r="H197" s="7"/>
      <c r="I197" s="7"/>
      <c r="J197" s="7"/>
      <c r="K197" s="7"/>
      <c r="L197" s="7"/>
    </row>
    <row r="198" spans="2:12" ht="12.75" customHeight="1">
      <c r="B198" s="7"/>
      <c r="C198" s="7"/>
      <c r="D198" s="7"/>
      <c r="E198" s="7"/>
      <c r="F198" s="7"/>
      <c r="G198" s="7"/>
      <c r="H198" s="7"/>
      <c r="I198" s="7"/>
      <c r="J198" s="7"/>
      <c r="K198" s="7"/>
      <c r="L198" s="7"/>
    </row>
    <row r="199" spans="2:12" ht="12.75" customHeight="1">
      <c r="B199" s="7"/>
      <c r="C199" s="7"/>
      <c r="D199" s="7"/>
      <c r="E199" s="7"/>
      <c r="F199" s="7"/>
      <c r="G199" s="7"/>
      <c r="H199" s="7"/>
      <c r="I199" s="7"/>
      <c r="J199" s="7"/>
      <c r="K199" s="7"/>
      <c r="L199" s="7"/>
    </row>
    <row r="200" spans="2:12" ht="12.75" customHeight="1">
      <c r="B200" s="7"/>
      <c r="C200" s="7"/>
      <c r="D200" s="7"/>
      <c r="E200" s="7"/>
      <c r="F200" s="7"/>
      <c r="G200" s="7"/>
      <c r="H200" s="7"/>
      <c r="I200" s="7"/>
      <c r="J200" s="7"/>
      <c r="K200" s="7"/>
      <c r="L200" s="7"/>
    </row>
    <row r="201" spans="2:12" ht="12.75" customHeight="1">
      <c r="B201" s="7"/>
      <c r="C201" s="7"/>
      <c r="D201" s="7"/>
      <c r="E201" s="7"/>
      <c r="F201" s="7"/>
      <c r="G201" s="7"/>
      <c r="H201" s="7"/>
      <c r="I201" s="7"/>
      <c r="J201" s="7"/>
      <c r="K201" s="7"/>
      <c r="L201" s="7"/>
    </row>
    <row r="202" spans="2:12" ht="12.75" customHeight="1">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sheetData>
  <sheetProtection password="CA99" sheet="1" objects="1" scenarios="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zoomScale="75" zoomScaleNormal="75" zoomScaleSheetLayoutView="100" zoomScalePageLayoutView="0" workbookViewId="0" topLeftCell="A46">
      <selection activeCell="G15" sqref="G15"/>
    </sheetView>
  </sheetViews>
  <sheetFormatPr defaultColWidth="11.421875" defaultRowHeight="12.75"/>
  <cols>
    <col min="1" max="1" width="8.140625" style="76" customWidth="1"/>
    <col min="2" max="2" width="11.7109375" style="77" customWidth="1"/>
    <col min="3" max="3" width="44.140625" style="77" customWidth="1"/>
    <col min="4" max="4" width="29.7109375" style="77" customWidth="1"/>
    <col min="5" max="5" width="24.28125" style="89" customWidth="1"/>
    <col min="6" max="6" width="0.9921875" style="89" customWidth="1"/>
    <col min="7" max="7" width="20.8515625" style="77" customWidth="1"/>
    <col min="8" max="8" width="0.9921875" style="77" customWidth="1"/>
    <col min="9" max="9" width="19.140625" style="77" customWidth="1"/>
    <col min="10" max="10" width="16.7109375" style="77" customWidth="1"/>
    <col min="11" max="11" width="15.28125" style="77" customWidth="1"/>
    <col min="12" max="12" width="33.57421875" style="77" customWidth="1"/>
    <col min="13" max="14" width="13.421875" style="77" customWidth="1"/>
    <col min="15" max="15" width="13.7109375" style="77" customWidth="1"/>
    <col min="16" max="16384" width="11.421875" style="77" customWidth="1"/>
  </cols>
  <sheetData>
    <row r="1" spans="1:15" ht="15">
      <c r="A1" s="1203" t="str">
        <f>+'KP WS B ADIT &amp; ITC'!A1:I1</f>
        <v>AEP East Companies</v>
      </c>
      <c r="B1" s="1203"/>
      <c r="C1" s="1203"/>
      <c r="D1" s="1203"/>
      <c r="E1" s="1203"/>
      <c r="F1" s="1203"/>
      <c r="G1" s="1203"/>
      <c r="H1" s="1203"/>
      <c r="I1" s="1203"/>
      <c r="J1" s="1203"/>
      <c r="K1" s="1203"/>
      <c r="L1" s="1203"/>
      <c r="M1" s="41"/>
      <c r="N1" s="41"/>
      <c r="O1" s="41"/>
    </row>
    <row r="2" spans="1:15" ht="15">
      <c r="A2" s="1202" t="str">
        <f>"Cost of Service Formula Rate Using Actual/Projected FF1 Balances"</f>
        <v>Cost of Service Formula Rate Using Actual/Projected FF1 Balances</v>
      </c>
      <c r="B2" s="1202"/>
      <c r="C2" s="1202"/>
      <c r="D2" s="1202"/>
      <c r="E2" s="1202"/>
      <c r="F2" s="1202"/>
      <c r="G2" s="1202"/>
      <c r="H2" s="1202"/>
      <c r="I2" s="1202"/>
      <c r="J2" s="1202"/>
      <c r="K2" s="1202"/>
      <c r="L2" s="1202"/>
      <c r="M2" s="116"/>
      <c r="N2" s="116"/>
      <c r="O2" s="116"/>
    </row>
    <row r="3" spans="1:15" ht="15">
      <c r="A3" s="1202" t="s">
        <v>635</v>
      </c>
      <c r="B3" s="1202"/>
      <c r="C3" s="1202"/>
      <c r="D3" s="1202"/>
      <c r="E3" s="1202"/>
      <c r="F3" s="1202"/>
      <c r="G3" s="1202"/>
      <c r="H3" s="1202"/>
      <c r="I3" s="1202"/>
      <c r="J3" s="1202"/>
      <c r="K3" s="1202"/>
      <c r="L3" s="1202"/>
      <c r="M3" s="115"/>
      <c r="N3" s="115"/>
      <c r="O3" s="115"/>
    </row>
    <row r="4" spans="1:15" ht="15">
      <c r="A4" s="1206" t="str">
        <f>+'KP WS A  - RB Support '!A4:F4</f>
        <v>KENTUCKY POWER COMPANY</v>
      </c>
      <c r="B4" s="1206"/>
      <c r="C4" s="1206"/>
      <c r="D4" s="1206"/>
      <c r="E4" s="1206"/>
      <c r="F4" s="1206"/>
      <c r="G4" s="1206"/>
      <c r="H4" s="1206"/>
      <c r="I4" s="1206"/>
      <c r="J4" s="1206"/>
      <c r="K4" s="1206"/>
      <c r="L4" s="1206"/>
      <c r="M4" s="4"/>
      <c r="N4" s="4"/>
      <c r="O4" s="4"/>
    </row>
    <row r="5" spans="1:15" ht="15">
      <c r="A5" s="4"/>
      <c r="B5" s="4"/>
      <c r="C5" s="4"/>
      <c r="D5" s="4"/>
      <c r="E5" s="4"/>
      <c r="F5" s="4"/>
      <c r="G5" s="4"/>
      <c r="H5" s="3"/>
      <c r="I5" s="75"/>
      <c r="J5" s="75"/>
      <c r="K5" s="75"/>
      <c r="L5" s="75"/>
      <c r="M5" s="75"/>
      <c r="N5" s="75"/>
      <c r="O5" s="75"/>
    </row>
    <row r="6" spans="1:15" ht="12.75" customHeight="1">
      <c r="A6" s="112"/>
      <c r="B6" s="112" t="s">
        <v>194</v>
      </c>
      <c r="C6" s="112" t="s">
        <v>195</v>
      </c>
      <c r="D6" s="110" t="s">
        <v>6</v>
      </c>
      <c r="E6" s="110" t="s">
        <v>197</v>
      </c>
      <c r="F6" s="112"/>
      <c r="G6" s="112" t="s">
        <v>115</v>
      </c>
      <c r="H6" s="112"/>
      <c r="I6" s="112" t="s">
        <v>116</v>
      </c>
      <c r="J6" s="112" t="s">
        <v>117</v>
      </c>
      <c r="K6" s="112" t="s">
        <v>122</v>
      </c>
      <c r="L6" s="112" t="s">
        <v>642</v>
      </c>
      <c r="M6" s="112"/>
      <c r="N6" s="112"/>
      <c r="O6" s="112"/>
    </row>
    <row r="7" ht="12.75">
      <c r="A7" s="73"/>
    </row>
    <row r="8" spans="1:15" ht="18">
      <c r="A8" s="109"/>
      <c r="B8" s="1208" t="s">
        <v>273</v>
      </c>
      <c r="C8" s="1208"/>
      <c r="D8" s="1208"/>
      <c r="E8" s="1208"/>
      <c r="F8" s="1208"/>
      <c r="G8" s="1208"/>
      <c r="H8" s="1208"/>
      <c r="I8" s="1208"/>
      <c r="J8" s="1208"/>
      <c r="K8" s="1208"/>
      <c r="O8" s="89"/>
    </row>
    <row r="9" spans="1:15" ht="12.75">
      <c r="A9" s="109"/>
      <c r="I9" s="17"/>
      <c r="J9" s="17"/>
      <c r="O9" s="89"/>
    </row>
    <row r="10" spans="1:15" ht="12.75" customHeight="1">
      <c r="A10" s="13" t="s">
        <v>201</v>
      </c>
      <c r="B10" s="79"/>
      <c r="C10" s="90"/>
      <c r="D10" s="233"/>
      <c r="E10" s="1209" t="str">
        <f>"Balance @ December 31, "&amp;'KP TCOS'!L2&amp;""</f>
        <v>Balance @ December 31, 2017</v>
      </c>
      <c r="F10" s="233"/>
      <c r="G10" s="1209" t="str">
        <f>"Balance @ December 31, "&amp;'KP TCOS'!L2-1&amp;""</f>
        <v>Balance @ December 31, 2016</v>
      </c>
      <c r="H10" s="300"/>
      <c r="I10" s="1200" t="str">
        <f>"Average Balance for "&amp;'KP TCOS'!L2&amp;""</f>
        <v>Average Balance for 2017</v>
      </c>
      <c r="J10" s="124"/>
      <c r="K10" s="84"/>
      <c r="L10" s="91"/>
      <c r="M10" s="84"/>
      <c r="N10" s="84"/>
      <c r="O10" s="89"/>
    </row>
    <row r="11" spans="1:14" ht="12.75">
      <c r="A11" s="13" t="s">
        <v>137</v>
      </c>
      <c r="B11" s="86"/>
      <c r="C11" s="79"/>
      <c r="D11" s="234" t="s">
        <v>264</v>
      </c>
      <c r="E11" s="1210"/>
      <c r="F11" s="235"/>
      <c r="G11" s="1210"/>
      <c r="H11" s="236"/>
      <c r="I11" s="1201"/>
      <c r="J11" s="124"/>
      <c r="K11" s="92"/>
      <c r="L11" s="93"/>
      <c r="M11" s="82"/>
      <c r="N11" s="82"/>
    </row>
    <row r="12" spans="1:14" ht="12.75">
      <c r="A12" s="86"/>
      <c r="B12" s="86"/>
      <c r="C12" s="79"/>
      <c r="D12" s="88"/>
      <c r="E12" s="78"/>
      <c r="F12" s="78"/>
      <c r="G12" s="268"/>
      <c r="H12" s="87"/>
      <c r="J12" s="17"/>
      <c r="K12" s="92"/>
      <c r="L12" s="93"/>
      <c r="M12" s="82"/>
      <c r="N12" s="82"/>
    </row>
    <row r="13" spans="1:14" ht="12.75">
      <c r="A13" s="86">
        <v>1</v>
      </c>
      <c r="B13" s="86"/>
      <c r="D13" s="65"/>
      <c r="E13" s="33"/>
      <c r="F13" s="33"/>
      <c r="G13" s="33"/>
      <c r="H13" s="33"/>
      <c r="I13" s="33"/>
      <c r="K13" s="33"/>
      <c r="L13" s="33"/>
      <c r="M13" s="82"/>
      <c r="N13" s="82"/>
    </row>
    <row r="14" spans="1:14" ht="12.75">
      <c r="A14" s="86"/>
      <c r="B14" s="86"/>
      <c r="C14" s="65"/>
      <c r="D14" s="65"/>
      <c r="E14" s="33"/>
      <c r="F14" s="33"/>
      <c r="G14" s="33"/>
      <c r="H14" s="33"/>
      <c r="I14" s="33"/>
      <c r="K14" s="33"/>
      <c r="L14" s="33"/>
      <c r="M14" s="82"/>
      <c r="N14" s="82"/>
    </row>
    <row r="15" spans="1:14" ht="12.75">
      <c r="A15" s="86">
        <f>+A13+1</f>
        <v>2</v>
      </c>
      <c r="B15" s="86"/>
      <c r="C15" s="65" t="s">
        <v>685</v>
      </c>
      <c r="D15" s="83" t="s">
        <v>535</v>
      </c>
      <c r="E15" s="1064">
        <v>53174.66455543141</v>
      </c>
      <c r="F15" s="33"/>
      <c r="G15" s="1064">
        <v>53174.66455543141</v>
      </c>
      <c r="H15" s="33"/>
      <c r="I15" s="166">
        <f>IF(G15="",0,(E15+G15)/2)</f>
        <v>53174.66455543141</v>
      </c>
      <c r="J15"/>
      <c r="K15" s="166"/>
      <c r="L15" s="33"/>
      <c r="M15" s="82"/>
      <c r="N15" s="82"/>
    </row>
    <row r="16" spans="1:14" ht="12.75">
      <c r="A16" s="86"/>
      <c r="B16" s="86"/>
      <c r="C16" s="65"/>
      <c r="D16"/>
      <c r="E16"/>
      <c r="F16"/>
      <c r="G16"/>
      <c r="H16"/>
      <c r="I16" s="6"/>
      <c r="J16"/>
      <c r="K16"/>
      <c r="L16" s="33"/>
      <c r="M16" s="82"/>
      <c r="N16" s="82"/>
    </row>
    <row r="17" spans="1:14" ht="12.75">
      <c r="A17" s="86">
        <f>+A15+1</f>
        <v>3</v>
      </c>
      <c r="B17" s="86"/>
      <c r="C17" s="65" t="s">
        <v>688</v>
      </c>
      <c r="D17" s="83" t="s">
        <v>536</v>
      </c>
      <c r="E17" s="1064">
        <v>43510</v>
      </c>
      <c r="F17" s="33"/>
      <c r="G17" s="1064">
        <v>43510</v>
      </c>
      <c r="H17" s="87"/>
      <c r="I17" s="166">
        <f>IF(G17="",0,(E17+G17)/2)</f>
        <v>43510</v>
      </c>
      <c r="J17" s="17"/>
      <c r="K17" s="92"/>
      <c r="L17" s="93"/>
      <c r="M17" s="82"/>
      <c r="N17" s="82"/>
    </row>
    <row r="18" spans="1:14" ht="12.75">
      <c r="A18" s="86"/>
      <c r="B18" s="86"/>
      <c r="C18" s="65"/>
      <c r="D18" s="83"/>
      <c r="E18"/>
      <c r="F18"/>
      <c r="G18"/>
      <c r="H18"/>
      <c r="I18"/>
      <c r="J18"/>
      <c r="K18" s="92"/>
      <c r="L18" s="93"/>
      <c r="M18" s="82"/>
      <c r="N18" s="82"/>
    </row>
    <row r="19" spans="1:14" ht="12.75">
      <c r="A19" s="86">
        <f>+A17+1</f>
        <v>4</v>
      </c>
      <c r="B19" s="86"/>
      <c r="C19" s="65" t="s">
        <v>689</v>
      </c>
      <c r="D19" s="83" t="s">
        <v>537</v>
      </c>
      <c r="E19" s="1064">
        <v>0</v>
      </c>
      <c r="F19" s="33"/>
      <c r="G19" s="1064">
        <v>0</v>
      </c>
      <c r="H19" s="87"/>
      <c r="I19" s="166">
        <f>IF(G19="",0,(E19+G19)/2)</f>
        <v>0</v>
      </c>
      <c r="J19" s="17"/>
      <c r="K19" s="92"/>
      <c r="L19" s="93"/>
      <c r="M19" s="82"/>
      <c r="N19" s="82"/>
    </row>
    <row r="20" spans="1:14" ht="12.75">
      <c r="A20" s="86"/>
      <c r="B20" s="86"/>
      <c r="C20" s="79"/>
      <c r="D20" s="88"/>
      <c r="E20" s="78"/>
      <c r="F20" s="78"/>
      <c r="G20" s="89"/>
      <c r="H20" s="87"/>
      <c r="I20" s="89"/>
      <c r="J20" s="17"/>
      <c r="K20" s="92"/>
      <c r="L20" s="93"/>
      <c r="M20" s="82"/>
      <c r="N20" s="82"/>
    </row>
    <row r="21" spans="1:14" ht="12.75">
      <c r="A21" s="220"/>
      <c r="B21" s="220"/>
      <c r="C21" s="221"/>
      <c r="D21" s="222"/>
      <c r="E21" s="223"/>
      <c r="F21" s="223"/>
      <c r="G21" s="224"/>
      <c r="H21" s="225"/>
      <c r="I21" s="224"/>
      <c r="J21" s="226"/>
      <c r="K21" s="227"/>
      <c r="L21" s="228"/>
      <c r="M21" s="82"/>
      <c r="N21" s="82"/>
    </row>
    <row r="22" spans="1:14" ht="18">
      <c r="A22" s="86"/>
      <c r="B22" s="1208" t="s">
        <v>693</v>
      </c>
      <c r="C22" s="1208"/>
      <c r="D22" s="1208"/>
      <c r="E22" s="1208"/>
      <c r="F22" s="1208"/>
      <c r="G22" s="1208"/>
      <c r="H22" s="1208"/>
      <c r="I22" s="1208"/>
      <c r="J22" s="1208"/>
      <c r="K22" s="1208"/>
      <c r="L22" s="93"/>
      <c r="M22" s="82"/>
      <c r="N22" s="82"/>
    </row>
    <row r="23" spans="1:14" ht="12.75" customHeight="1">
      <c r="A23" s="86"/>
      <c r="B23" s="179"/>
      <c r="C23" s="79"/>
      <c r="D23" s="27"/>
      <c r="E23" s="11"/>
      <c r="F23" s="77"/>
      <c r="G23" s="11" t="s">
        <v>118</v>
      </c>
      <c r="I23" s="9" t="s">
        <v>147</v>
      </c>
      <c r="J23" s="9" t="s">
        <v>147</v>
      </c>
      <c r="K23" s="9" t="s">
        <v>212</v>
      </c>
      <c r="L23" s="93"/>
      <c r="M23" s="82"/>
      <c r="N23" s="82"/>
    </row>
    <row r="24" spans="1:14" ht="12.75" customHeight="1">
      <c r="A24" s="86"/>
      <c r="B24" s="179"/>
      <c r="C24" s="79"/>
      <c r="D24" s="176" t="s">
        <v>643</v>
      </c>
      <c r="E24" s="9" t="s">
        <v>691</v>
      </c>
      <c r="F24" s="77"/>
      <c r="G24" s="9" t="s">
        <v>147</v>
      </c>
      <c r="I24" s="9" t="s">
        <v>670</v>
      </c>
      <c r="J24" s="9" t="s">
        <v>193</v>
      </c>
      <c r="K24" s="9" t="s">
        <v>213</v>
      </c>
      <c r="L24" s="93"/>
      <c r="M24" s="82"/>
      <c r="N24" s="82"/>
    </row>
    <row r="25" spans="1:14" ht="12.75" customHeight="1">
      <c r="A25" s="86">
        <f>+A19+1</f>
        <v>5</v>
      </c>
      <c r="B25" s="179"/>
      <c r="C25" s="79"/>
      <c r="D25" s="14" t="s">
        <v>119</v>
      </c>
      <c r="E25" s="14" t="s">
        <v>644</v>
      </c>
      <c r="F25" s="77"/>
      <c r="G25" s="14" t="s">
        <v>671</v>
      </c>
      <c r="I25" s="14" t="s">
        <v>671</v>
      </c>
      <c r="J25" s="14" t="s">
        <v>671</v>
      </c>
      <c r="K25" s="14" t="s">
        <v>672</v>
      </c>
      <c r="L25" s="93"/>
      <c r="M25" s="82"/>
      <c r="N25" s="82"/>
    </row>
    <row r="26" spans="1:14" ht="12.75">
      <c r="A26" s="86"/>
      <c r="B26" s="86"/>
      <c r="C26" s="79"/>
      <c r="D26" s="88"/>
      <c r="E26" s="78"/>
      <c r="F26" s="78"/>
      <c r="G26" s="89"/>
      <c r="H26" s="87"/>
      <c r="I26" s="89"/>
      <c r="J26" s="17"/>
      <c r="K26" s="269"/>
      <c r="L26" s="93"/>
      <c r="M26" s="82"/>
      <c r="N26" s="82"/>
    </row>
    <row r="27" spans="1:14" ht="12.75">
      <c r="A27" s="86">
        <f>+A25+1</f>
        <v>6</v>
      </c>
      <c r="B27" s="86"/>
      <c r="C27" s="77" t="str">
        <f>"Totals as of December 31, "&amp;'KP TCOS'!L2&amp;""</f>
        <v>Totals as of December 31, 2017</v>
      </c>
      <c r="D27" s="180">
        <f>ROUND(D54,0)</f>
        <v>2046416</v>
      </c>
      <c r="E27" s="280">
        <f>ROUND(E54,0)</f>
        <v>-55251482</v>
      </c>
      <c r="F27" s="181"/>
      <c r="G27" s="180">
        <f>ROUND(G54,0)</f>
        <v>0</v>
      </c>
      <c r="H27" s="87"/>
      <c r="I27" s="180">
        <f>ROUND(I54,0)</f>
        <v>791568</v>
      </c>
      <c r="J27" s="182">
        <f>+J54</f>
        <v>56506330.4742985</v>
      </c>
      <c r="K27" s="180">
        <f>ROUND(K54,0)</f>
        <v>57297898</v>
      </c>
      <c r="L27" s="93"/>
      <c r="M27" s="82"/>
      <c r="N27" s="82"/>
    </row>
    <row r="28" spans="1:14" ht="12.75">
      <c r="A28" s="86">
        <f>+A27+1</f>
        <v>7</v>
      </c>
      <c r="B28" s="86"/>
      <c r="C28" s="77" t="str">
        <f>"Totals as of December 31, "&amp;'KP TCOS'!L2-1&amp;""</f>
        <v>Totals as of December 31, 2016</v>
      </c>
      <c r="D28" s="185">
        <f>IF(D80="","",D80)</f>
        <v>2046414.9999999972</v>
      </c>
      <c r="E28" s="281">
        <f>IF(E80="","",E80)</f>
        <v>-55251482.27362835</v>
      </c>
      <c r="F28" s="78"/>
      <c r="G28" s="185">
        <f>IF(G80="","",G80)</f>
      </c>
      <c r="H28" s="87"/>
      <c r="I28" s="185">
        <f>IF(I80="","",I80)</f>
        <v>791567.7993298441</v>
      </c>
      <c r="J28" s="185">
        <f>IF(J80="","",J80)</f>
        <v>56506330.4742985</v>
      </c>
      <c r="K28" s="185">
        <f>IF(K80="","",K80)</f>
        <v>57297898.27362834</v>
      </c>
      <c r="L28" s="93"/>
      <c r="M28" s="82"/>
      <c r="N28" s="82"/>
    </row>
    <row r="29" spans="1:14" ht="13.5" thickBot="1">
      <c r="A29" s="86">
        <f>+A28+1</f>
        <v>8</v>
      </c>
      <c r="B29" s="86"/>
      <c r="C29" s="119" t="s">
        <v>279</v>
      </c>
      <c r="D29" s="186">
        <f>IF(D28="",0,(D27+D28)/2)</f>
        <v>2046415.4999999986</v>
      </c>
      <c r="E29" s="186">
        <f>IF(E28="",0,(E27+E28)/2)</f>
        <v>-55251482.13681418</v>
      </c>
      <c r="F29" s="187"/>
      <c r="G29" s="186">
        <f>IF(G28="",0,(G27+G28)/2)</f>
        <v>0</v>
      </c>
      <c r="H29" s="111"/>
      <c r="I29" s="186">
        <f>IF(I28="",0,(I27+I28)/2)</f>
        <v>791567.899664922</v>
      </c>
      <c r="J29" s="186">
        <f>IF(J28="",0,(J27+J28)/2)</f>
        <v>56506330.4742985</v>
      </c>
      <c r="K29" s="186">
        <f>IF(K28="",0,(K27+K28)/2)</f>
        <v>57297898.13681417</v>
      </c>
      <c r="L29" s="93"/>
      <c r="M29" s="82"/>
      <c r="N29" s="82"/>
    </row>
    <row r="30" spans="1:14" ht="13.5" thickTop="1">
      <c r="A30" s="86"/>
      <c r="B30" s="86"/>
      <c r="D30" s="88"/>
      <c r="E30" s="78"/>
      <c r="F30" s="78"/>
      <c r="G30" s="89"/>
      <c r="H30" s="87"/>
      <c r="I30" s="89"/>
      <c r="J30" s="17"/>
      <c r="K30" s="92"/>
      <c r="L30" s="93"/>
      <c r="M30" s="82"/>
      <c r="N30" s="82"/>
    </row>
    <row r="31" spans="1:14" ht="12.75">
      <c r="A31" s="77"/>
      <c r="E31" s="77"/>
      <c r="F31" s="77"/>
      <c r="J31" s="17"/>
      <c r="K31" s="92"/>
      <c r="L31" s="93"/>
      <c r="M31" s="82"/>
      <c r="N31" s="82"/>
    </row>
    <row r="32" spans="1:14" ht="18">
      <c r="A32" s="86"/>
      <c r="B32" s="1207" t="str">
        <f>"Prepayments Account 165 - Balance @ 12/31/"&amp;D34&amp;""</f>
        <v>Prepayments Account 165 - Balance @ 12/31/2017</v>
      </c>
      <c r="C32" s="1211"/>
      <c r="D32" s="1211"/>
      <c r="E32" s="1211"/>
      <c r="F32" s="1211"/>
      <c r="G32" s="1211"/>
      <c r="H32" s="1211"/>
      <c r="I32" s="1211"/>
      <c r="J32" s="1211"/>
      <c r="K32" s="92"/>
      <c r="L32" s="93"/>
      <c r="M32" s="82"/>
      <c r="N32" s="82"/>
    </row>
    <row r="33" spans="1:14" ht="12.75">
      <c r="A33" s="86"/>
      <c r="B33" s="172"/>
      <c r="C33" s="174"/>
      <c r="D33" s="27"/>
      <c r="E33" s="11"/>
      <c r="F33" s="77"/>
      <c r="G33" s="11" t="s">
        <v>118</v>
      </c>
      <c r="I33" s="9" t="s">
        <v>147</v>
      </c>
      <c r="J33" s="9" t="s">
        <v>147</v>
      </c>
      <c r="K33" s="9" t="s">
        <v>212</v>
      </c>
      <c r="L33"/>
      <c r="M33" s="82"/>
      <c r="N33" s="82"/>
    </row>
    <row r="34" spans="1:14" ht="12.75">
      <c r="A34" s="86"/>
      <c r="B34" s="172"/>
      <c r="C34" s="175"/>
      <c r="D34" s="176" t="str">
        <f>""&amp;'KP TCOS'!L2</f>
        <v>2017</v>
      </c>
      <c r="E34" s="9" t="s">
        <v>691</v>
      </c>
      <c r="F34" s="77"/>
      <c r="G34" s="9" t="s">
        <v>147</v>
      </c>
      <c r="I34" s="9" t="s">
        <v>670</v>
      </c>
      <c r="J34" s="9" t="s">
        <v>193</v>
      </c>
      <c r="K34" s="9" t="s">
        <v>213</v>
      </c>
      <c r="L34"/>
      <c r="M34" s="82"/>
      <c r="N34" s="82"/>
    </row>
    <row r="35" spans="1:14" ht="12.75">
      <c r="A35" s="86">
        <f>+A29+1</f>
        <v>9</v>
      </c>
      <c r="B35" s="14" t="s">
        <v>121</v>
      </c>
      <c r="C35" s="14" t="s">
        <v>199</v>
      </c>
      <c r="D35" s="14" t="s">
        <v>119</v>
      </c>
      <c r="E35" s="14" t="s">
        <v>644</v>
      </c>
      <c r="F35" s="77"/>
      <c r="G35" s="14" t="s">
        <v>671</v>
      </c>
      <c r="I35" s="14" t="s">
        <v>671</v>
      </c>
      <c r="J35" s="14" t="s">
        <v>671</v>
      </c>
      <c r="K35" s="14" t="s">
        <v>672</v>
      </c>
      <c r="L35" s="14" t="s">
        <v>65</v>
      </c>
      <c r="M35" s="82"/>
      <c r="N35" s="82"/>
    </row>
    <row r="36" spans="1:14" ht="12.75">
      <c r="A36" s="86"/>
      <c r="B36" s="172"/>
      <c r="C36" s="174"/>
      <c r="D36" s="174"/>
      <c r="E36" s="174"/>
      <c r="F36" s="77"/>
      <c r="G36" s="174"/>
      <c r="I36" s="174"/>
      <c r="J36" s="174"/>
      <c r="K36" s="269"/>
      <c r="L36"/>
      <c r="M36" s="82"/>
      <c r="N36" s="82"/>
    </row>
    <row r="37" spans="1:14" ht="14.25">
      <c r="A37" s="86">
        <f>+A35+1</f>
        <v>10</v>
      </c>
      <c r="B37" s="1065" t="s">
        <v>673</v>
      </c>
      <c r="C37" s="1066" t="s">
        <v>674</v>
      </c>
      <c r="D37" s="1067">
        <v>529110.7996763446</v>
      </c>
      <c r="E37" s="122">
        <f>+D37-K37</f>
        <v>0</v>
      </c>
      <c r="F37" s="77"/>
      <c r="G37" s="131"/>
      <c r="I37" s="131">
        <f>+D37</f>
        <v>529110.7996763446</v>
      </c>
      <c r="J37" s="131"/>
      <c r="K37" s="131">
        <f aca="true" t="shared" si="0" ref="K37:K44">+G37+I37+J37</f>
        <v>529110.7996763446</v>
      </c>
      <c r="L37" t="s">
        <v>692</v>
      </c>
      <c r="M37" s="82"/>
      <c r="N37" s="82"/>
    </row>
    <row r="38" spans="1:14" ht="14.25">
      <c r="A38" s="86">
        <f>+A37+1</f>
        <v>11</v>
      </c>
      <c r="B38" s="1068">
        <v>1650005</v>
      </c>
      <c r="C38" s="1066" t="s">
        <v>676</v>
      </c>
      <c r="D38" s="1067">
        <v>70174.8838267421</v>
      </c>
      <c r="E38" s="122" t="s">
        <v>146</v>
      </c>
      <c r="F38" s="77"/>
      <c r="G38" s="131"/>
      <c r="I38" s="131"/>
      <c r="J38" s="131">
        <f>D38</f>
        <v>70174.8838267421</v>
      </c>
      <c r="K38" s="131">
        <f t="shared" si="0"/>
        <v>70174.8838267421</v>
      </c>
      <c r="L38" t="s">
        <v>697</v>
      </c>
      <c r="M38" s="82"/>
      <c r="N38" s="82"/>
    </row>
    <row r="39" spans="1:14" ht="14.25">
      <c r="A39" s="86">
        <f aca="true" t="shared" si="1" ref="A39:A50">+A38+1</f>
        <v>12</v>
      </c>
      <c r="B39" s="1068">
        <v>1650006</v>
      </c>
      <c r="C39" s="1066" t="s">
        <v>677</v>
      </c>
      <c r="D39" s="1067">
        <v>1051.400698449446</v>
      </c>
      <c r="E39" s="122">
        <f>+D39-K39</f>
        <v>1051.400698449446</v>
      </c>
      <c r="F39" s="77"/>
      <c r="G39" s="131"/>
      <c r="I39" s="131"/>
      <c r="J39" s="131"/>
      <c r="K39" s="131">
        <f t="shared" si="0"/>
        <v>0</v>
      </c>
      <c r="L39" t="s">
        <v>792</v>
      </c>
      <c r="M39" s="82"/>
      <c r="N39" s="82"/>
    </row>
    <row r="40" spans="1:14" ht="14.25">
      <c r="A40" s="86">
        <f>+A39+1</f>
        <v>13</v>
      </c>
      <c r="B40" s="1069" t="s">
        <v>782</v>
      </c>
      <c r="C40" s="1066" t="s">
        <v>675</v>
      </c>
      <c r="D40" s="1067">
        <v>553674.4541336078</v>
      </c>
      <c r="E40" s="131">
        <f>D40</f>
        <v>553674.4541336078</v>
      </c>
      <c r="F40" s="77"/>
      <c r="G40" s="131"/>
      <c r="I40" s="131"/>
      <c r="J40" s="131">
        <v>0</v>
      </c>
      <c r="K40" s="131">
        <f t="shared" si="0"/>
        <v>0</v>
      </c>
      <c r="L40" t="s">
        <v>793</v>
      </c>
      <c r="M40" s="82"/>
      <c r="N40" s="82"/>
    </row>
    <row r="41" spans="1:14" ht="14.25">
      <c r="A41" s="86">
        <f t="shared" si="1"/>
        <v>14</v>
      </c>
      <c r="B41" s="1065" t="s">
        <v>678</v>
      </c>
      <c r="C41" s="1066" t="s">
        <v>679</v>
      </c>
      <c r="D41" s="1067">
        <v>26353.480762530533</v>
      </c>
      <c r="E41" s="169">
        <f>D41</f>
        <v>26353.480762530533</v>
      </c>
      <c r="F41" s="77"/>
      <c r="G41" s="169"/>
      <c r="I41" s="169"/>
      <c r="J41" s="169">
        <v>0</v>
      </c>
      <c r="K41" s="169">
        <f t="shared" si="0"/>
        <v>0</v>
      </c>
      <c r="L41" s="22" t="s">
        <v>771</v>
      </c>
      <c r="M41" s="82"/>
      <c r="N41" s="82"/>
    </row>
    <row r="42" spans="1:14" ht="14.25">
      <c r="A42" s="86">
        <f t="shared" si="1"/>
        <v>15</v>
      </c>
      <c r="B42" s="1065" t="s">
        <v>680</v>
      </c>
      <c r="C42" s="1066" t="s">
        <v>681</v>
      </c>
      <c r="D42" s="1067">
        <v>49346271.178867385</v>
      </c>
      <c r="E42" s="131">
        <v>0</v>
      </c>
      <c r="F42" s="77"/>
      <c r="G42" s="131"/>
      <c r="I42" s="131"/>
      <c r="J42" s="131">
        <f>D42</f>
        <v>49346271.178867385</v>
      </c>
      <c r="K42" s="169">
        <f t="shared" si="0"/>
        <v>49346271.178867385</v>
      </c>
      <c r="L42" s="6" t="s">
        <v>682</v>
      </c>
      <c r="M42" s="82"/>
      <c r="N42" s="82"/>
    </row>
    <row r="43" spans="1:14" ht="14.25">
      <c r="A43" s="86">
        <f t="shared" si="1"/>
        <v>16</v>
      </c>
      <c r="B43" s="1065" t="s">
        <v>683</v>
      </c>
      <c r="C43" s="1066" t="s">
        <v>684</v>
      </c>
      <c r="D43" s="1067">
        <v>-49346271.178867385</v>
      </c>
      <c r="E43" s="131">
        <f>D43</f>
        <v>-49346271.178867385</v>
      </c>
      <c r="F43" s="77"/>
      <c r="G43" s="131"/>
      <c r="I43" s="131"/>
      <c r="J43" s="131">
        <v>0</v>
      </c>
      <c r="K43" s="169">
        <v>0</v>
      </c>
      <c r="L43" s="22" t="s">
        <v>55</v>
      </c>
      <c r="M43" s="82"/>
      <c r="N43" s="82"/>
    </row>
    <row r="44" spans="1:14" ht="14.25">
      <c r="A44" s="86">
        <f t="shared" si="1"/>
        <v>17</v>
      </c>
      <c r="B44" s="1065" t="s">
        <v>769</v>
      </c>
      <c r="C44" s="1066" t="s">
        <v>770</v>
      </c>
      <c r="D44" s="1067">
        <v>0</v>
      </c>
      <c r="E44" s="131">
        <v>0</v>
      </c>
      <c r="F44" s="77"/>
      <c r="G44" s="131"/>
      <c r="I44" s="131"/>
      <c r="J44" s="131">
        <f>D44</f>
        <v>0</v>
      </c>
      <c r="K44" s="169">
        <f t="shared" si="0"/>
        <v>0</v>
      </c>
      <c r="L44" s="22" t="s">
        <v>146</v>
      </c>
      <c r="M44" s="82"/>
      <c r="N44" s="82"/>
    </row>
    <row r="45" spans="1:14" ht="14.25">
      <c r="A45" s="86">
        <f>+A44+1</f>
        <v>18</v>
      </c>
      <c r="B45" s="1069" t="s">
        <v>783</v>
      </c>
      <c r="C45" s="1066" t="s">
        <v>784</v>
      </c>
      <c r="D45" s="1067">
        <v>42472.67602871223</v>
      </c>
      <c r="E45" s="169">
        <f>D45</f>
        <v>42472.67602871223</v>
      </c>
      <c r="F45" s="77"/>
      <c r="G45" s="169"/>
      <c r="I45" s="169"/>
      <c r="J45" s="169">
        <v>0</v>
      </c>
      <c r="K45" s="169">
        <f aca="true" t="shared" si="2" ref="K45:K52">+G45+I45+J45</f>
        <v>0</v>
      </c>
      <c r="L45" s="22" t="s">
        <v>794</v>
      </c>
      <c r="M45" s="82"/>
      <c r="N45" s="82"/>
    </row>
    <row r="46" spans="1:14" ht="14.25">
      <c r="A46" s="86">
        <f>+A45+1</f>
        <v>19</v>
      </c>
      <c r="B46" s="1070" t="s">
        <v>785</v>
      </c>
      <c r="C46" s="1066" t="s">
        <v>613</v>
      </c>
      <c r="D46" s="1067">
        <v>290617.9115702017</v>
      </c>
      <c r="E46" s="169">
        <f>D46</f>
        <v>290617.9115702017</v>
      </c>
      <c r="F46" s="77"/>
      <c r="G46" s="169"/>
      <c r="I46" s="169"/>
      <c r="J46" s="169">
        <v>0</v>
      </c>
      <c r="K46" s="169">
        <f t="shared" si="2"/>
        <v>0</v>
      </c>
      <c r="L46" s="22" t="s">
        <v>795</v>
      </c>
      <c r="M46" s="82"/>
      <c r="N46" s="82"/>
    </row>
    <row r="47" spans="1:14" ht="14.25">
      <c r="A47" s="86">
        <f>+A46+1</f>
        <v>20</v>
      </c>
      <c r="B47" s="1071" t="s">
        <v>786</v>
      </c>
      <c r="C47" s="1066" t="s">
        <v>455</v>
      </c>
      <c r="D47" s="1067">
        <v>262456.9996534995</v>
      </c>
      <c r="E47" s="169">
        <f>+D47-K47</f>
        <v>0</v>
      </c>
      <c r="F47" s="77"/>
      <c r="G47" s="169"/>
      <c r="I47" s="169">
        <f>+D47</f>
        <v>262456.9996534995</v>
      </c>
      <c r="J47" s="169"/>
      <c r="K47" s="169">
        <f t="shared" si="2"/>
        <v>262456.9996534995</v>
      </c>
      <c r="L47" s="22" t="s">
        <v>796</v>
      </c>
      <c r="M47" s="82"/>
      <c r="N47" s="82"/>
    </row>
    <row r="48" spans="1:14" ht="14.25">
      <c r="A48" s="86">
        <f t="shared" si="1"/>
        <v>21</v>
      </c>
      <c r="B48" s="1072" t="s">
        <v>787</v>
      </c>
      <c r="C48" s="1066" t="s">
        <v>456</v>
      </c>
      <c r="D48" s="1067">
        <v>7010.642052544772</v>
      </c>
      <c r="E48" s="169">
        <f>D48</f>
        <v>7010.642052544772</v>
      </c>
      <c r="F48" s="77"/>
      <c r="G48" s="169"/>
      <c r="I48" s="169">
        <v>0</v>
      </c>
      <c r="J48" s="169">
        <v>0</v>
      </c>
      <c r="K48" s="169">
        <f t="shared" si="2"/>
        <v>0</v>
      </c>
      <c r="L48" s="22" t="s">
        <v>797</v>
      </c>
      <c r="M48" s="82"/>
      <c r="N48" s="82"/>
    </row>
    <row r="49" spans="1:14" ht="14.25">
      <c r="A49" s="86">
        <f t="shared" si="1"/>
        <v>22</v>
      </c>
      <c r="B49" s="1073">
        <v>1650031</v>
      </c>
      <c r="C49" s="1066" t="s">
        <v>696</v>
      </c>
      <c r="D49" s="1067">
        <v>146435.17709139345</v>
      </c>
      <c r="E49" s="169">
        <v>0</v>
      </c>
      <c r="F49" s="77"/>
      <c r="G49" s="169"/>
      <c r="I49" s="169"/>
      <c r="J49" s="169">
        <f>D49</f>
        <v>146435.17709139345</v>
      </c>
      <c r="K49" s="169">
        <f t="shared" si="2"/>
        <v>146435.17709139345</v>
      </c>
      <c r="L49" s="22" t="s">
        <v>798</v>
      </c>
      <c r="M49" s="82"/>
      <c r="N49" s="82"/>
    </row>
    <row r="50" spans="1:14" ht="14.25">
      <c r="A50" s="86">
        <f t="shared" si="1"/>
        <v>23</v>
      </c>
      <c r="B50" s="1073">
        <v>1650033</v>
      </c>
      <c r="C50" s="1066" t="s">
        <v>788</v>
      </c>
      <c r="D50" s="1067">
        <v>117057.57450597391</v>
      </c>
      <c r="E50" s="169">
        <v>0</v>
      </c>
      <c r="F50" s="77"/>
      <c r="G50" s="169"/>
      <c r="I50" s="169"/>
      <c r="J50" s="169">
        <f>D50</f>
        <v>117057.57450597391</v>
      </c>
      <c r="K50" s="169">
        <f t="shared" si="2"/>
        <v>117057.57450597391</v>
      </c>
      <c r="L50" s="22" t="s">
        <v>798</v>
      </c>
      <c r="M50" s="82"/>
      <c r="N50" s="82"/>
    </row>
    <row r="51" spans="1:14" ht="14.25">
      <c r="A51" s="86">
        <f>A50+1</f>
        <v>24</v>
      </c>
      <c r="B51" s="1073">
        <v>1650035</v>
      </c>
      <c r="C51" s="1066" t="s">
        <v>789</v>
      </c>
      <c r="D51" s="1067">
        <v>6826391.6600070065</v>
      </c>
      <c r="E51" s="169">
        <v>0</v>
      </c>
      <c r="F51" s="77"/>
      <c r="G51" s="169"/>
      <c r="I51" s="169"/>
      <c r="J51" s="169">
        <f>D51</f>
        <v>6826391.6600070065</v>
      </c>
      <c r="K51" s="169">
        <f t="shared" si="2"/>
        <v>6826391.6600070065</v>
      </c>
      <c r="L51" s="22" t="s">
        <v>799</v>
      </c>
      <c r="M51" s="82"/>
      <c r="N51" s="82"/>
    </row>
    <row r="52" spans="1:14" ht="14.25">
      <c r="A52" s="86">
        <f>A51+1</f>
        <v>25</v>
      </c>
      <c r="B52" s="1073">
        <v>1650036</v>
      </c>
      <c r="C52" s="1066" t="s">
        <v>790</v>
      </c>
      <c r="D52" s="1067">
        <v>0</v>
      </c>
      <c r="E52" s="169">
        <v>0</v>
      </c>
      <c r="F52" s="77"/>
      <c r="G52" s="131"/>
      <c r="I52" s="131"/>
      <c r="J52" s="131">
        <f>D52</f>
        <v>0</v>
      </c>
      <c r="K52" s="169">
        <f t="shared" si="2"/>
        <v>0</v>
      </c>
      <c r="L52" s="22"/>
      <c r="M52" s="82"/>
      <c r="N52" s="82"/>
    </row>
    <row r="53" spans="1:14" ht="15" thickBot="1">
      <c r="A53" s="86">
        <f>A52+1</f>
        <v>26</v>
      </c>
      <c r="B53" s="1073">
        <v>1650037</v>
      </c>
      <c r="C53" s="1066" t="s">
        <v>791</v>
      </c>
      <c r="D53" s="1067">
        <v>-6826391.6600070065</v>
      </c>
      <c r="E53" s="169">
        <f>D53</f>
        <v>-6826391.6600070065</v>
      </c>
      <c r="F53" s="77"/>
      <c r="G53" s="131"/>
      <c r="I53" s="131"/>
      <c r="J53" s="131">
        <v>0</v>
      </c>
      <c r="K53" s="169">
        <f>J53</f>
        <v>0</v>
      </c>
      <c r="L53" s="22" t="s">
        <v>55</v>
      </c>
      <c r="M53" s="82"/>
      <c r="N53" s="82"/>
    </row>
    <row r="54" spans="1:14" ht="12.75">
      <c r="A54" s="86"/>
      <c r="B54" s="172"/>
      <c r="C54" s="36" t="s">
        <v>645</v>
      </c>
      <c r="D54" s="177">
        <f>SUM(D37:D53)</f>
        <v>2046415.9999999972</v>
      </c>
      <c r="E54" s="279">
        <f>SUM(E37:E53)</f>
        <v>-55251482.27362835</v>
      </c>
      <c r="F54" s="77"/>
      <c r="G54" s="177">
        <f>SUM(G37:G53)</f>
        <v>0</v>
      </c>
      <c r="I54" s="177">
        <f>SUM(I37:I53)</f>
        <v>791567.7993298441</v>
      </c>
      <c r="J54" s="177">
        <f>SUM(J37:J53)</f>
        <v>56506330.4742985</v>
      </c>
      <c r="K54" s="177">
        <f>SUM(K37:K53)</f>
        <v>57297898.27362834</v>
      </c>
      <c r="L54"/>
      <c r="M54" s="82"/>
      <c r="N54" s="82"/>
    </row>
    <row r="55" spans="1:14" ht="12.75">
      <c r="A55" s="86"/>
      <c r="K55" s="178"/>
      <c r="L55"/>
      <c r="M55" s="82"/>
      <c r="N55" s="82"/>
    </row>
    <row r="56" spans="1:15" ht="12.75">
      <c r="A56" s="86"/>
      <c r="B56"/>
      <c r="C56"/>
      <c r="D56"/>
      <c r="E56"/>
      <c r="F56"/>
      <c r="G56"/>
      <c r="H56"/>
      <c r="I56"/>
      <c r="J56"/>
      <c r="K56"/>
      <c r="L56"/>
      <c r="M56" s="22"/>
      <c r="N56" s="22"/>
      <c r="O56"/>
    </row>
    <row r="57" spans="1:15" ht="18">
      <c r="A57" s="86"/>
      <c r="B57" s="1207" t="str">
        <f>"Prepayments Account 165 - Balance @ 12/31/ "&amp;D59&amp;""</f>
        <v>Prepayments Account 165 - Balance @ 12/31/ 2016</v>
      </c>
      <c r="C57" s="1207"/>
      <c r="D57" s="1207"/>
      <c r="E57" s="1207"/>
      <c r="F57" s="1207"/>
      <c r="G57" s="1207"/>
      <c r="H57" s="1207"/>
      <c r="I57" s="1207"/>
      <c r="J57" s="1207"/>
      <c r="K57" s="92"/>
      <c r="L57" s="93"/>
      <c r="M57" s="82"/>
      <c r="N57" s="22"/>
      <c r="O57"/>
    </row>
    <row r="58" spans="1:15" ht="12.75">
      <c r="A58" s="86"/>
      <c r="B58" s="292"/>
      <c r="C58" s="293"/>
      <c r="D58" s="294"/>
      <c r="E58" s="11"/>
      <c r="F58" s="77"/>
      <c r="G58" s="11" t="s">
        <v>118</v>
      </c>
      <c r="I58" s="9" t="s">
        <v>147</v>
      </c>
      <c r="J58" s="9" t="s">
        <v>147</v>
      </c>
      <c r="K58" s="9" t="s">
        <v>212</v>
      </c>
      <c r="L58"/>
      <c r="M58" s="82"/>
      <c r="N58" s="22"/>
      <c r="O58"/>
    </row>
    <row r="59" spans="1:15" ht="12.75">
      <c r="A59" s="86"/>
      <c r="B59" s="292"/>
      <c r="C59" s="295"/>
      <c r="D59" s="9" t="str">
        <f>""&amp;'KP TCOS'!L2-1</f>
        <v>2016</v>
      </c>
      <c r="E59" s="9" t="s">
        <v>691</v>
      </c>
      <c r="F59" s="77"/>
      <c r="G59" s="9" t="s">
        <v>147</v>
      </c>
      <c r="I59" s="9" t="s">
        <v>670</v>
      </c>
      <c r="J59" s="9" t="s">
        <v>193</v>
      </c>
      <c r="K59" s="9" t="s">
        <v>213</v>
      </c>
      <c r="L59"/>
      <c r="M59" s="82"/>
      <c r="N59" s="22"/>
      <c r="O59"/>
    </row>
    <row r="60" spans="1:15" ht="12.75">
      <c r="A60" s="86">
        <f>A53+1</f>
        <v>27</v>
      </c>
      <c r="B60" s="14" t="s">
        <v>121</v>
      </c>
      <c r="C60" s="14" t="s">
        <v>199</v>
      </c>
      <c r="D60" s="14" t="s">
        <v>119</v>
      </c>
      <c r="E60" s="14" t="s">
        <v>644</v>
      </c>
      <c r="F60" s="77"/>
      <c r="G60" s="14" t="s">
        <v>671</v>
      </c>
      <c r="I60" s="14" t="s">
        <v>671</v>
      </c>
      <c r="J60" s="14" t="s">
        <v>671</v>
      </c>
      <c r="K60" s="14" t="s">
        <v>672</v>
      </c>
      <c r="L60" s="14" t="s">
        <v>65</v>
      </c>
      <c r="M60" s="82"/>
      <c r="N60" s="22"/>
      <c r="O60"/>
    </row>
    <row r="61" spans="1:15" ht="12.75">
      <c r="A61" s="86"/>
      <c r="B61" s="172"/>
      <c r="C61" s="174"/>
      <c r="D61" s="174"/>
      <c r="E61" s="174"/>
      <c r="F61" s="77"/>
      <c r="G61" s="174"/>
      <c r="I61" s="174"/>
      <c r="J61" s="174"/>
      <c r="K61" s="174"/>
      <c r="L61"/>
      <c r="M61" s="82"/>
      <c r="N61" s="22"/>
      <c r="O61"/>
    </row>
    <row r="62" spans="1:15" ht="14.25">
      <c r="A62" s="86">
        <f>+A60+1</f>
        <v>28</v>
      </c>
      <c r="B62" s="1065" t="s">
        <v>673</v>
      </c>
      <c r="C62" s="1066" t="s">
        <v>674</v>
      </c>
      <c r="D62" s="1067">
        <v>529110.7996763446</v>
      </c>
      <c r="E62" s="122">
        <f>+D62-K62</f>
        <v>0</v>
      </c>
      <c r="F62" s="77"/>
      <c r="G62" s="131"/>
      <c r="I62" s="131">
        <f>+D62</f>
        <v>529110.7996763446</v>
      </c>
      <c r="J62" s="131"/>
      <c r="K62" s="131">
        <f aca="true" t="shared" si="3" ref="K62:K69">+G62+I62+J62</f>
        <v>529110.7996763446</v>
      </c>
      <c r="L62" t="s">
        <v>692</v>
      </c>
      <c r="M62" s="82"/>
      <c r="N62" s="22"/>
      <c r="O62"/>
    </row>
    <row r="63" spans="1:15" ht="14.25">
      <c r="A63" s="86">
        <f>+A62+1</f>
        <v>29</v>
      </c>
      <c r="B63" s="1068">
        <v>1650005</v>
      </c>
      <c r="C63" s="1066" t="s">
        <v>676</v>
      </c>
      <c r="D63" s="1067">
        <v>70174.8838267421</v>
      </c>
      <c r="E63" s="122">
        <v>0</v>
      </c>
      <c r="F63" s="77"/>
      <c r="G63" s="131"/>
      <c r="I63" s="131"/>
      <c r="J63" s="131">
        <f>D63</f>
        <v>70174.8838267421</v>
      </c>
      <c r="K63" s="131">
        <f t="shared" si="3"/>
        <v>70174.8838267421</v>
      </c>
      <c r="L63" t="s">
        <v>697</v>
      </c>
      <c r="M63" s="82"/>
      <c r="N63" s="22"/>
      <c r="O63"/>
    </row>
    <row r="64" spans="1:15" ht="14.25">
      <c r="A64" s="86">
        <f aca="true" t="shared" si="4" ref="A64:A71">+A63+1</f>
        <v>30</v>
      </c>
      <c r="B64" s="1068">
        <v>1650006</v>
      </c>
      <c r="C64" s="1066" t="s">
        <v>677</v>
      </c>
      <c r="D64" s="1067">
        <v>1051.400698449446</v>
      </c>
      <c r="E64" s="122">
        <f>+D64-K64</f>
        <v>1051.400698449446</v>
      </c>
      <c r="F64" s="77"/>
      <c r="G64" s="131"/>
      <c r="I64" s="131"/>
      <c r="J64" s="131"/>
      <c r="K64" s="131">
        <f t="shared" si="3"/>
        <v>0</v>
      </c>
      <c r="L64" t="s">
        <v>792</v>
      </c>
      <c r="M64" s="82"/>
      <c r="N64" s="22"/>
      <c r="O64"/>
    </row>
    <row r="65" spans="1:15" ht="14.25">
      <c r="A65" s="86">
        <f t="shared" si="4"/>
        <v>31</v>
      </c>
      <c r="B65" s="1069" t="s">
        <v>782</v>
      </c>
      <c r="C65" s="1066" t="s">
        <v>675</v>
      </c>
      <c r="D65" s="1067">
        <v>553674.4541336078</v>
      </c>
      <c r="E65" s="131">
        <f>D65</f>
        <v>553674.4541336078</v>
      </c>
      <c r="F65" s="77"/>
      <c r="G65" s="131"/>
      <c r="I65" s="131"/>
      <c r="J65" s="131">
        <v>0</v>
      </c>
      <c r="K65" s="131">
        <f t="shared" si="3"/>
        <v>0</v>
      </c>
      <c r="L65" t="s">
        <v>793</v>
      </c>
      <c r="M65" s="82"/>
      <c r="N65" s="22"/>
      <c r="O65"/>
    </row>
    <row r="66" spans="1:15" ht="14.25">
      <c r="A66" s="86">
        <f t="shared" si="4"/>
        <v>32</v>
      </c>
      <c r="B66" s="1065" t="s">
        <v>678</v>
      </c>
      <c r="C66" s="1066" t="s">
        <v>679</v>
      </c>
      <c r="D66" s="1067">
        <v>26353.480762530533</v>
      </c>
      <c r="E66" s="169">
        <f>D66</f>
        <v>26353.480762530533</v>
      </c>
      <c r="F66" s="77"/>
      <c r="G66" s="169"/>
      <c r="I66" s="169"/>
      <c r="J66" s="169">
        <v>0</v>
      </c>
      <c r="K66" s="169">
        <f t="shared" si="3"/>
        <v>0</v>
      </c>
      <c r="L66" s="22" t="s">
        <v>771</v>
      </c>
      <c r="M66" s="82"/>
      <c r="N66" s="22"/>
      <c r="O66"/>
    </row>
    <row r="67" spans="1:15" ht="14.25">
      <c r="A67" s="86">
        <f t="shared" si="4"/>
        <v>33</v>
      </c>
      <c r="B67" s="1065" t="s">
        <v>680</v>
      </c>
      <c r="C67" s="1066" t="s">
        <v>681</v>
      </c>
      <c r="D67" s="1067">
        <v>49346271.178867385</v>
      </c>
      <c r="E67" s="131">
        <v>0</v>
      </c>
      <c r="F67" s="77"/>
      <c r="G67" s="131"/>
      <c r="I67" s="131"/>
      <c r="J67" s="131">
        <f>D67</f>
        <v>49346271.178867385</v>
      </c>
      <c r="K67" s="169">
        <f t="shared" si="3"/>
        <v>49346271.178867385</v>
      </c>
      <c r="L67" s="6" t="s">
        <v>682</v>
      </c>
      <c r="M67" s="82"/>
      <c r="N67" s="22"/>
      <c r="O67"/>
    </row>
    <row r="68" spans="1:15" ht="14.25">
      <c r="A68" s="86">
        <f t="shared" si="4"/>
        <v>34</v>
      </c>
      <c r="B68" s="1065" t="s">
        <v>683</v>
      </c>
      <c r="C68" s="1066" t="s">
        <v>684</v>
      </c>
      <c r="D68" s="1067">
        <v>-49346271.178867385</v>
      </c>
      <c r="E68" s="131">
        <f>D68</f>
        <v>-49346271.178867385</v>
      </c>
      <c r="F68" s="77"/>
      <c r="G68" s="131"/>
      <c r="I68" s="131"/>
      <c r="J68" s="131">
        <v>0</v>
      </c>
      <c r="K68" s="169">
        <v>0</v>
      </c>
      <c r="L68" s="22" t="s">
        <v>55</v>
      </c>
      <c r="M68" s="82"/>
      <c r="N68" s="22"/>
      <c r="O68"/>
    </row>
    <row r="69" spans="1:15" ht="14.25">
      <c r="A69" s="86">
        <f t="shared" si="4"/>
        <v>35</v>
      </c>
      <c r="B69" s="1065" t="s">
        <v>769</v>
      </c>
      <c r="C69" s="1066" t="s">
        <v>770</v>
      </c>
      <c r="D69" s="1067">
        <v>0</v>
      </c>
      <c r="E69" s="131">
        <v>0</v>
      </c>
      <c r="F69" s="77"/>
      <c r="G69" s="131"/>
      <c r="I69" s="131"/>
      <c r="J69" s="131">
        <f>D69</f>
        <v>0</v>
      </c>
      <c r="K69" s="169">
        <f t="shared" si="3"/>
        <v>0</v>
      </c>
      <c r="L69" s="22" t="s">
        <v>146</v>
      </c>
      <c r="M69" s="82"/>
      <c r="N69" s="22"/>
      <c r="O69"/>
    </row>
    <row r="70" spans="1:15" ht="14.25">
      <c r="A70" s="86">
        <f t="shared" si="4"/>
        <v>36</v>
      </c>
      <c r="B70" s="1069" t="s">
        <v>783</v>
      </c>
      <c r="C70" s="1066" t="s">
        <v>784</v>
      </c>
      <c r="D70" s="1067">
        <v>42472.67602871223</v>
      </c>
      <c r="E70" s="169">
        <f>D70</f>
        <v>42472.67602871223</v>
      </c>
      <c r="F70" s="77"/>
      <c r="G70" s="169"/>
      <c r="I70" s="169"/>
      <c r="J70" s="169">
        <v>0</v>
      </c>
      <c r="K70" s="169">
        <f aca="true" t="shared" si="5" ref="K70:K77">+G70+I70+J70</f>
        <v>0</v>
      </c>
      <c r="L70" s="22" t="s">
        <v>794</v>
      </c>
      <c r="M70" s="82"/>
      <c r="N70" s="22"/>
      <c r="O70"/>
    </row>
    <row r="71" spans="1:15" ht="14.25">
      <c r="A71" s="86">
        <f t="shared" si="4"/>
        <v>37</v>
      </c>
      <c r="B71" s="1070" t="s">
        <v>785</v>
      </c>
      <c r="C71" s="1066" t="s">
        <v>613</v>
      </c>
      <c r="D71" s="1067">
        <v>290617.9115702017</v>
      </c>
      <c r="E71" s="169">
        <f>D71</f>
        <v>290617.9115702017</v>
      </c>
      <c r="F71" s="77"/>
      <c r="G71" s="169"/>
      <c r="I71" s="169"/>
      <c r="J71" s="169">
        <v>0</v>
      </c>
      <c r="K71" s="169">
        <f t="shared" si="5"/>
        <v>0</v>
      </c>
      <c r="L71" s="22" t="s">
        <v>795</v>
      </c>
      <c r="M71" s="82"/>
      <c r="N71" s="22"/>
      <c r="O71"/>
    </row>
    <row r="72" spans="1:15" ht="14.25">
      <c r="A72" s="86">
        <f aca="true" t="shared" si="6" ref="A72:A78">+A71+1</f>
        <v>38</v>
      </c>
      <c r="B72" s="1071" t="s">
        <v>786</v>
      </c>
      <c r="C72" s="1066" t="s">
        <v>455</v>
      </c>
      <c r="D72" s="1067">
        <v>262456.9996534995</v>
      </c>
      <c r="E72" s="169">
        <f>+D72-K72</f>
        <v>0</v>
      </c>
      <c r="F72" s="77"/>
      <c r="G72" s="169"/>
      <c r="I72" s="169">
        <f>+D72</f>
        <v>262456.9996534995</v>
      </c>
      <c r="J72" s="169"/>
      <c r="K72" s="169">
        <f t="shared" si="5"/>
        <v>262456.9996534995</v>
      </c>
      <c r="L72" s="22" t="s">
        <v>796</v>
      </c>
      <c r="M72" s="82"/>
      <c r="N72" s="22"/>
      <c r="O72"/>
    </row>
    <row r="73" spans="1:15" ht="14.25">
      <c r="A73" s="86">
        <f t="shared" si="6"/>
        <v>39</v>
      </c>
      <c r="B73" s="1072" t="s">
        <v>787</v>
      </c>
      <c r="C73" s="1066" t="s">
        <v>456</v>
      </c>
      <c r="D73" s="1067">
        <v>7010.642052544772</v>
      </c>
      <c r="E73" s="169">
        <f>D73</f>
        <v>7010.642052544772</v>
      </c>
      <c r="F73" s="77"/>
      <c r="G73" s="169"/>
      <c r="I73" s="169">
        <v>0</v>
      </c>
      <c r="J73" s="169">
        <v>0</v>
      </c>
      <c r="K73" s="169">
        <f t="shared" si="5"/>
        <v>0</v>
      </c>
      <c r="L73" s="22" t="s">
        <v>797</v>
      </c>
      <c r="M73" s="82"/>
      <c r="N73" s="22"/>
      <c r="O73"/>
    </row>
    <row r="74" spans="1:15" ht="14.25">
      <c r="A74" s="86">
        <f t="shared" si="6"/>
        <v>40</v>
      </c>
      <c r="B74" s="1073">
        <v>1650031</v>
      </c>
      <c r="C74" s="1066" t="s">
        <v>696</v>
      </c>
      <c r="D74" s="1067">
        <v>146435.17709139345</v>
      </c>
      <c r="E74" s="169">
        <v>0</v>
      </c>
      <c r="F74" s="77"/>
      <c r="G74" s="169"/>
      <c r="I74" s="169"/>
      <c r="J74" s="169">
        <f>D74</f>
        <v>146435.17709139345</v>
      </c>
      <c r="K74" s="169">
        <f t="shared" si="5"/>
        <v>146435.17709139345</v>
      </c>
      <c r="L74" s="22" t="s">
        <v>798</v>
      </c>
      <c r="M74" s="82"/>
      <c r="N74" s="22"/>
      <c r="O74"/>
    </row>
    <row r="75" spans="1:15" ht="14.25">
      <c r="A75" s="86">
        <f t="shared" si="6"/>
        <v>41</v>
      </c>
      <c r="B75" s="1073">
        <v>1650033</v>
      </c>
      <c r="C75" s="1066" t="s">
        <v>788</v>
      </c>
      <c r="D75" s="1067">
        <v>117057.57450597391</v>
      </c>
      <c r="E75" s="169">
        <v>0</v>
      </c>
      <c r="F75" s="77"/>
      <c r="G75" s="169"/>
      <c r="I75" s="169"/>
      <c r="J75" s="169">
        <f>D75</f>
        <v>117057.57450597391</v>
      </c>
      <c r="K75" s="169">
        <f t="shared" si="5"/>
        <v>117057.57450597391</v>
      </c>
      <c r="L75" s="22" t="s">
        <v>798</v>
      </c>
      <c r="M75" s="82"/>
      <c r="N75" s="22"/>
      <c r="O75"/>
    </row>
    <row r="76" spans="1:15" ht="14.25">
      <c r="A76" s="86">
        <f t="shared" si="6"/>
        <v>42</v>
      </c>
      <c r="B76" s="1073">
        <v>1650035</v>
      </c>
      <c r="C76" s="1066" t="s">
        <v>789</v>
      </c>
      <c r="D76" s="1067">
        <v>6826391.6600070065</v>
      </c>
      <c r="E76" s="169">
        <f>+D76-K76</f>
        <v>0</v>
      </c>
      <c r="F76" s="77"/>
      <c r="G76" s="169"/>
      <c r="I76" s="169"/>
      <c r="J76" s="169">
        <f>D76</f>
        <v>6826391.6600070065</v>
      </c>
      <c r="K76" s="169">
        <f t="shared" si="5"/>
        <v>6826391.6600070065</v>
      </c>
      <c r="L76" s="22" t="s">
        <v>799</v>
      </c>
      <c r="M76" s="82"/>
      <c r="N76" s="22"/>
      <c r="O76"/>
    </row>
    <row r="77" spans="1:15" ht="14.25">
      <c r="A77" s="86">
        <f t="shared" si="6"/>
        <v>43</v>
      </c>
      <c r="B77" s="1073">
        <v>1650036</v>
      </c>
      <c r="C77" s="1066" t="s">
        <v>790</v>
      </c>
      <c r="D77" s="1067">
        <v>0</v>
      </c>
      <c r="E77" s="169">
        <f>+D77-K77</f>
        <v>0</v>
      </c>
      <c r="F77" s="77"/>
      <c r="G77" s="131"/>
      <c r="I77" s="131"/>
      <c r="J77" s="131">
        <f>D77</f>
        <v>0</v>
      </c>
      <c r="K77" s="169">
        <f t="shared" si="5"/>
        <v>0</v>
      </c>
      <c r="L77" s="22"/>
      <c r="M77" s="82"/>
      <c r="N77" s="22"/>
      <c r="O77"/>
    </row>
    <row r="78" spans="1:15" ht="16.5" customHeight="1">
      <c r="A78" s="86">
        <f t="shared" si="6"/>
        <v>44</v>
      </c>
      <c r="B78" s="1073">
        <v>1650037</v>
      </c>
      <c r="C78" s="1066" t="s">
        <v>791</v>
      </c>
      <c r="D78" s="1067">
        <v>-6826391.6600070065</v>
      </c>
      <c r="E78" s="169">
        <f>D78</f>
        <v>-6826391.6600070065</v>
      </c>
      <c r="F78" s="77"/>
      <c r="G78" s="131"/>
      <c r="I78" s="131"/>
      <c r="J78" s="131">
        <v>0</v>
      </c>
      <c r="K78" s="169">
        <f>J78</f>
        <v>0</v>
      </c>
      <c r="L78" s="22" t="s">
        <v>55</v>
      </c>
      <c r="M78" s="82"/>
      <c r="N78" s="22"/>
      <c r="O78"/>
    </row>
    <row r="79" spans="1:15" ht="13.5" thickBot="1">
      <c r="A79" s="86"/>
      <c r="B79" s="30"/>
      <c r="C79" s="30"/>
      <c r="D79" s="169"/>
      <c r="E79" s="122"/>
      <c r="F79" s="77"/>
      <c r="G79" s="131"/>
      <c r="I79" s="131"/>
      <c r="J79" s="131"/>
      <c r="K79" s="131"/>
      <c r="L79"/>
      <c r="M79" s="82"/>
      <c r="N79" s="22"/>
      <c r="O79"/>
    </row>
    <row r="80" spans="1:15" ht="12.75">
      <c r="A80" s="86"/>
      <c r="B80" s="172"/>
      <c r="C80" s="36" t="s">
        <v>485</v>
      </c>
      <c r="D80" s="177">
        <f>IF(SUM(D62:D79)=0,"",SUM(D62:D79))-1</f>
        <v>2046414.9999999972</v>
      </c>
      <c r="E80" s="279">
        <f>IF(SUM(E62:E79)=0,"",SUM(E62:E79))</f>
        <v>-55251482.27362835</v>
      </c>
      <c r="F80" s="77"/>
      <c r="G80" s="177">
        <f>IF(SUM(G62:G79)=0,"",SUM(G62:G79))</f>
      </c>
      <c r="I80" s="177">
        <f>IF(SUM(I62:I79)=0,"",SUM(I62:I79))</f>
        <v>791567.7993298441</v>
      </c>
      <c r="J80" s="177">
        <f>IF(SUM(J62:J79)=0,"",SUM(J62:J79))</f>
        <v>56506330.4742985</v>
      </c>
      <c r="K80" s="177">
        <f>IF(SUM(K62:K79)=0,"",SUM(K62:K79))</f>
        <v>57297898.27362834</v>
      </c>
      <c r="L80"/>
      <c r="M80" s="82"/>
      <c r="N80" s="22"/>
      <c r="O80"/>
    </row>
    <row r="81" spans="1:15" ht="12.75">
      <c r="A81" s="86"/>
      <c r="B81" s="86"/>
      <c r="C81"/>
      <c r="D81"/>
      <c r="E81"/>
      <c r="F81"/>
      <c r="G81"/>
      <c r="H81"/>
      <c r="I81"/>
      <c r="J81"/>
      <c r="K81"/>
      <c r="L81"/>
      <c r="M81" s="22"/>
      <c r="N81" s="22"/>
      <c r="O81"/>
    </row>
    <row r="82" spans="1:15" ht="12.75">
      <c r="A82"/>
      <c r="B82"/>
      <c r="C82"/>
      <c r="D82"/>
      <c r="E82"/>
      <c r="F82"/>
      <c r="G82"/>
      <c r="H82"/>
      <c r="I82" s="231"/>
      <c r="J82"/>
      <c r="K82"/>
      <c r="L82"/>
      <c r="M82" s="22"/>
      <c r="N82" s="22"/>
      <c r="O82"/>
    </row>
    <row r="83" spans="1:15" ht="12.75">
      <c r="A83"/>
      <c r="B83"/>
      <c r="C83"/>
      <c r="D83"/>
      <c r="E83"/>
      <c r="F83"/>
      <c r="G83"/>
      <c r="H83"/>
      <c r="I83"/>
      <c r="J83"/>
      <c r="K83"/>
      <c r="L83"/>
      <c r="M83" s="22"/>
      <c r="N83" s="22"/>
      <c r="O83"/>
    </row>
    <row r="84" spans="1:15" ht="12.75">
      <c r="A84"/>
      <c r="B84"/>
      <c r="C84"/>
      <c r="D84"/>
      <c r="E84"/>
      <c r="F84"/>
      <c r="G84"/>
      <c r="H84"/>
      <c r="I84"/>
      <c r="J84"/>
      <c r="K84"/>
      <c r="L84"/>
      <c r="M84" s="22"/>
      <c r="N84" s="22"/>
      <c r="O84"/>
    </row>
    <row r="85" spans="1:15" ht="12.75">
      <c r="A85"/>
      <c r="B85"/>
      <c r="C85"/>
      <c r="D85"/>
      <c r="E85"/>
      <c r="F85"/>
      <c r="G85"/>
      <c r="H85"/>
      <c r="I85"/>
      <c r="J85"/>
      <c r="K85"/>
      <c r="L85"/>
      <c r="M85" s="22"/>
      <c r="N85" s="22"/>
      <c r="O85"/>
    </row>
    <row r="86" spans="1:15" ht="12.75">
      <c r="A86"/>
      <c r="B86"/>
      <c r="C86"/>
      <c r="D86"/>
      <c r="E86"/>
      <c r="F86"/>
      <c r="G86"/>
      <c r="H86"/>
      <c r="I86"/>
      <c r="J86"/>
      <c r="K86"/>
      <c r="L86"/>
      <c r="M86" s="22"/>
      <c r="N86" s="22"/>
      <c r="O86"/>
    </row>
    <row r="87" spans="1:15" ht="12.75">
      <c r="A87"/>
      <c r="B87"/>
      <c r="C87"/>
      <c r="D87"/>
      <c r="E87"/>
      <c r="F87"/>
      <c r="G87"/>
      <c r="H87"/>
      <c r="I87"/>
      <c r="J87"/>
      <c r="K87"/>
      <c r="L87"/>
      <c r="M87" s="22"/>
      <c r="N87" s="22"/>
      <c r="O87"/>
    </row>
    <row r="88" spans="1:15" ht="12.75">
      <c r="A88"/>
      <c r="B88"/>
      <c r="C88"/>
      <c r="D88"/>
      <c r="E88"/>
      <c r="F88"/>
      <c r="G88"/>
      <c r="H88"/>
      <c r="I88"/>
      <c r="J88"/>
      <c r="K88"/>
      <c r="L88"/>
      <c r="M88" s="22"/>
      <c r="N88" s="22"/>
      <c r="O88"/>
    </row>
    <row r="89" spans="1:15" ht="12.75">
      <c r="A89"/>
      <c r="B89"/>
      <c r="C89"/>
      <c r="D89"/>
      <c r="E89"/>
      <c r="F89"/>
      <c r="G89"/>
      <c r="H89"/>
      <c r="I89"/>
      <c r="J89"/>
      <c r="K89"/>
      <c r="L89"/>
      <c r="M89" s="22"/>
      <c r="N89" s="22"/>
      <c r="O89"/>
    </row>
    <row r="90" spans="1:15" ht="12.75">
      <c r="A90"/>
      <c r="B90"/>
      <c r="C90"/>
      <c r="D90"/>
      <c r="E90"/>
      <c r="F90"/>
      <c r="G90"/>
      <c r="H90"/>
      <c r="I90"/>
      <c r="J90"/>
      <c r="K90"/>
      <c r="L90"/>
      <c r="M90" s="22"/>
      <c r="N90" s="22"/>
      <c r="O90"/>
    </row>
    <row r="91" spans="1:15" ht="12.75">
      <c r="A91"/>
      <c r="B91"/>
      <c r="C91"/>
      <c r="D91"/>
      <c r="E91"/>
      <c r="F91"/>
      <c r="G91"/>
      <c r="H91"/>
      <c r="I91"/>
      <c r="J91"/>
      <c r="K91"/>
      <c r="L91"/>
      <c r="M91" s="22"/>
      <c r="N91" s="22"/>
      <c r="O91"/>
    </row>
    <row r="92" spans="1:15" ht="12.75">
      <c r="A92"/>
      <c r="B92"/>
      <c r="C92"/>
      <c r="D92"/>
      <c r="E92"/>
      <c r="F92"/>
      <c r="G92"/>
      <c r="H92"/>
      <c r="I92"/>
      <c r="J92"/>
      <c r="K92"/>
      <c r="L92"/>
      <c r="M92" s="22"/>
      <c r="N92" s="22"/>
      <c r="O92"/>
    </row>
    <row r="93" spans="1:15" ht="12.75">
      <c r="A93"/>
      <c r="B93"/>
      <c r="C93"/>
      <c r="D93"/>
      <c r="E93"/>
      <c r="F93"/>
      <c r="G93"/>
      <c r="H93"/>
      <c r="I93"/>
      <c r="J93"/>
      <c r="K93"/>
      <c r="L93"/>
      <c r="M93" s="22"/>
      <c r="N93" s="22"/>
      <c r="O93"/>
    </row>
    <row r="94" spans="1:15" ht="12.75">
      <c r="A94"/>
      <c r="B94"/>
      <c r="C94"/>
      <c r="D94"/>
      <c r="E94"/>
      <c r="F94"/>
      <c r="G94"/>
      <c r="H94"/>
      <c r="I94"/>
      <c r="J94"/>
      <c r="K94"/>
      <c r="L94"/>
      <c r="M94" s="22"/>
      <c r="N94" s="22"/>
      <c r="O94"/>
    </row>
    <row r="95" spans="1:15" ht="12.75">
      <c r="A95"/>
      <c r="B95"/>
      <c r="C95"/>
      <c r="D95"/>
      <c r="E95"/>
      <c r="F95"/>
      <c r="G95"/>
      <c r="H95"/>
      <c r="I95"/>
      <c r="J95"/>
      <c r="K95"/>
      <c r="L95"/>
      <c r="M95" s="22"/>
      <c r="N95" s="22"/>
      <c r="O95"/>
    </row>
    <row r="96" spans="1:15" ht="12.75">
      <c r="A96"/>
      <c r="B96"/>
      <c r="C96"/>
      <c r="D96"/>
      <c r="E96"/>
      <c r="F96"/>
      <c r="G96"/>
      <c r="H96"/>
      <c r="I96"/>
      <c r="J96"/>
      <c r="K96"/>
      <c r="L96"/>
      <c r="M96" s="22"/>
      <c r="N96" s="22"/>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password="CA99" sheet="1" objects="1" scenarios="1"/>
  <mergeCells count="11">
    <mergeCell ref="B8:K8"/>
    <mergeCell ref="A1:L1"/>
    <mergeCell ref="A2:L2"/>
    <mergeCell ref="A3:L3"/>
    <mergeCell ref="A4:L4"/>
    <mergeCell ref="B57:J57"/>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K33" sqref="K33"/>
    </sheetView>
  </sheetViews>
  <sheetFormatPr defaultColWidth="8.8515625" defaultRowHeight="12.75"/>
  <cols>
    <col min="1" max="1" width="9.28125" style="547" bestFit="1" customWidth="1"/>
    <col min="2" max="2" width="65.140625" style="441" bestFit="1" customWidth="1"/>
    <col min="3" max="3" width="12.7109375" style="441" bestFit="1" customWidth="1"/>
    <col min="4" max="4" width="1.57421875" style="441" customWidth="1"/>
    <col min="5" max="5" width="15.00390625" style="441" bestFit="1" customWidth="1"/>
    <col min="6" max="16384" width="8.8515625" style="441" customWidth="1"/>
  </cols>
  <sheetData>
    <row r="1" spans="1:15" ht="15">
      <c r="A1" s="1212" t="str">
        <f>+'KP WS C  - Working Capital'!A1:L1</f>
        <v>AEP East Companies</v>
      </c>
      <c r="B1" s="1212"/>
      <c r="C1" s="1212"/>
      <c r="D1" s="1212"/>
      <c r="E1" s="1212"/>
      <c r="F1" s="662"/>
      <c r="G1" s="662"/>
      <c r="H1" s="662"/>
      <c r="I1" s="662"/>
      <c r="J1" s="662"/>
      <c r="K1" s="662"/>
      <c r="L1" s="662"/>
      <c r="M1" s="662"/>
      <c r="N1" s="662"/>
      <c r="O1" s="662"/>
    </row>
    <row r="2" spans="1:15" ht="15">
      <c r="A2" s="1213" t="str">
        <f>"Cost of Service Formula Rate Using Actual/Projected FF1 Balances"</f>
        <v>Cost of Service Formula Rate Using Actual/Projected FF1 Balances</v>
      </c>
      <c r="B2" s="1213"/>
      <c r="C2" s="1213"/>
      <c r="D2" s="1213"/>
      <c r="E2" s="1213"/>
      <c r="F2" s="663"/>
      <c r="G2" s="663"/>
      <c r="H2" s="663"/>
      <c r="I2" s="663"/>
      <c r="J2" s="663"/>
      <c r="K2" s="663"/>
      <c r="L2" s="663"/>
      <c r="M2" s="664"/>
      <c r="N2" s="664"/>
      <c r="O2" s="664"/>
    </row>
    <row r="3" spans="1:15" ht="15">
      <c r="A3" s="1213" t="s">
        <v>293</v>
      </c>
      <c r="B3" s="1213"/>
      <c r="C3" s="1213"/>
      <c r="D3" s="1213"/>
      <c r="E3" s="1213"/>
      <c r="F3" s="663"/>
      <c r="G3" s="663"/>
      <c r="H3" s="663"/>
      <c r="I3" s="663"/>
      <c r="J3" s="663"/>
      <c r="K3" s="663"/>
      <c r="L3" s="663"/>
      <c r="M3" s="663"/>
      <c r="N3" s="663"/>
      <c r="O3" s="663"/>
    </row>
    <row r="4" spans="1:15" ht="15">
      <c r="A4" s="1214" t="str">
        <f>+'KP WS C  - Working Capital'!A4:O4</f>
        <v>KENTUCKY POWER COMPANY</v>
      </c>
      <c r="B4" s="1214"/>
      <c r="C4" s="1214"/>
      <c r="D4" s="1214"/>
      <c r="E4" s="1214"/>
      <c r="F4" s="437"/>
      <c r="G4" s="437"/>
      <c r="H4" s="437"/>
      <c r="I4" s="437"/>
      <c r="J4" s="437"/>
      <c r="K4" s="437"/>
      <c r="L4" s="437"/>
      <c r="M4" s="437"/>
      <c r="N4" s="437"/>
      <c r="O4" s="437"/>
    </row>
    <row r="6" spans="1:3" ht="12.75">
      <c r="A6" s="665" t="s">
        <v>201</v>
      </c>
      <c r="B6" s="666" t="s">
        <v>194</v>
      </c>
      <c r="C6" s="666" t="s">
        <v>195</v>
      </c>
    </row>
    <row r="7" spans="1:3" ht="12.75">
      <c r="A7" s="665" t="s">
        <v>137</v>
      </c>
      <c r="B7" s="665" t="s">
        <v>199</v>
      </c>
      <c r="C7" s="665">
        <f>+'KP TCOS'!L2</f>
        <v>2017</v>
      </c>
    </row>
    <row r="8" spans="1:6" ht="12.75">
      <c r="A8" s="667"/>
      <c r="B8" s="668"/>
      <c r="C8" s="666"/>
      <c r="F8" s="534"/>
    </row>
    <row r="9" spans="1:6" ht="12.75">
      <c r="A9" s="547">
        <v>1</v>
      </c>
      <c r="B9" s="669" t="str">
        <f>"Net Funds from IPP Customers 12/31/"&amp;'KP TCOS'!L2-1&amp;" ("&amp;'KP TCOS'!L2&amp;" FORM 1, P269, line 6.b)"</f>
        <v>Net Funds from IPP Customers 12/31/2016 (2017 FORM 1, P269, line 6.b)</v>
      </c>
      <c r="C9" s="1064">
        <v>-277687</v>
      </c>
      <c r="D9" s="534"/>
      <c r="F9" s="534"/>
    </row>
    <row r="10" spans="2:6" ht="12.75">
      <c r="B10" s="670"/>
      <c r="C10" s="1075"/>
      <c r="D10" s="534"/>
      <c r="F10" s="534"/>
    </row>
    <row r="11" spans="1:6" ht="12.75">
      <c r="A11" s="547">
        <v>2</v>
      </c>
      <c r="B11" s="671" t="s">
        <v>101</v>
      </c>
      <c r="C11" s="1064">
        <v>-9135</v>
      </c>
      <c r="D11" s="534"/>
      <c r="F11" s="534"/>
    </row>
    <row r="12" spans="2:6" ht="12.75">
      <c r="B12" s="671"/>
      <c r="C12" s="1075"/>
      <c r="D12" s="534"/>
      <c r="F12" s="534"/>
    </row>
    <row r="13" spans="1:6" ht="12.75">
      <c r="A13" s="547">
        <f>+A11+1</f>
        <v>3</v>
      </c>
      <c r="B13" s="671" t="s">
        <v>102</v>
      </c>
      <c r="C13" s="1064">
        <v>0</v>
      </c>
      <c r="D13" s="534"/>
      <c r="F13" s="534"/>
    </row>
    <row r="14" spans="2:6" ht="12.75">
      <c r="B14" s="671"/>
      <c r="C14" s="1075"/>
      <c r="D14" s="534"/>
      <c r="F14" s="534"/>
    </row>
    <row r="15" spans="1:6" ht="12.75">
      <c r="A15" s="547">
        <f>+A13+1</f>
        <v>4</v>
      </c>
      <c r="B15" s="672" t="s">
        <v>303</v>
      </c>
      <c r="C15" s="1075"/>
      <c r="D15" s="534"/>
      <c r="F15" s="534"/>
    </row>
    <row r="16" spans="1:6" ht="12.75">
      <c r="A16" s="547">
        <f>+A15+1</f>
        <v>5</v>
      </c>
      <c r="B16" s="673" t="s">
        <v>103</v>
      </c>
      <c r="C16" s="1064">
        <v>0</v>
      </c>
      <c r="D16" s="534"/>
      <c r="F16" s="534"/>
    </row>
    <row r="17" spans="1:6" ht="12.75">
      <c r="A17" s="547">
        <f>+A16+1</f>
        <v>6</v>
      </c>
      <c r="B17" s="490" t="s">
        <v>146</v>
      </c>
      <c r="C17" s="1074">
        <v>0</v>
      </c>
      <c r="D17" s="534"/>
      <c r="F17" s="534"/>
    </row>
    <row r="18" spans="2:6" ht="12.75">
      <c r="B18" s="479"/>
      <c r="C18" s="674"/>
      <c r="D18" s="534"/>
      <c r="F18" s="534"/>
    </row>
    <row r="19" spans="1:6" ht="12.75">
      <c r="A19" s="547">
        <f>+A17+1</f>
        <v>7</v>
      </c>
      <c r="B19" s="675" t="str">
        <f>"Net Funds from IPP Customers 12/31/"&amp;'KP TCOS'!L2&amp;" ("&amp;'KP TCOS'!L2&amp;" FORM 1, P269, line 6.f)"</f>
        <v>Net Funds from IPP Customers 12/31/2017 (2017 FORM 1, P269, line 6.f)</v>
      </c>
      <c r="C19" s="676">
        <f>+C9+C11+C13+C16+C17</f>
        <v>-286822</v>
      </c>
      <c r="D19" s="677"/>
      <c r="F19" s="534"/>
    </row>
    <row r="20" spans="2:6" ht="12.75">
      <c r="B20" s="479"/>
      <c r="C20" s="676"/>
      <c r="D20" s="534"/>
      <c r="F20" s="534"/>
    </row>
    <row r="21" spans="1:6" ht="12.75">
      <c r="A21" s="547">
        <f>+A19+1</f>
        <v>8</v>
      </c>
      <c r="B21" s="673" t="str">
        <f>"Average Balance for Year as Indicated in Column B ((ln "&amp;A9&amp;" + ln "&amp;A19&amp;")/2)"</f>
        <v>Average Balance for Year as Indicated in Column B ((ln 1 + ln 7)/2)</v>
      </c>
      <c r="C21" s="678">
        <f>AVERAGE(C19,C9)</f>
        <v>-282254.5</v>
      </c>
      <c r="D21" s="534"/>
      <c r="F21" s="534"/>
    </row>
    <row r="22" spans="2:4" ht="12.75">
      <c r="B22" s="479"/>
      <c r="D22" s="534"/>
    </row>
    <row r="23" spans="2:4" ht="12.75">
      <c r="B23" s="479"/>
      <c r="C23" s="679"/>
      <c r="D23" s="534"/>
    </row>
    <row r="24" spans="1:4" ht="15">
      <c r="A24" s="429" t="s">
        <v>641</v>
      </c>
      <c r="B24" s="1197" t="str">
        <f>"On this worksheet Company Records refers to  "&amp;A4&amp;"'s general ledger."</f>
        <v>On this worksheet Company Records refers to  KENTUCKY POWER COMPANY's general ledger.</v>
      </c>
      <c r="D24" s="534"/>
    </row>
    <row r="25" spans="2:4" ht="12.75">
      <c r="B25" s="1191"/>
      <c r="D25" s="534"/>
    </row>
    <row r="26" spans="2:4" ht="12.75">
      <c r="B26" s="680"/>
      <c r="D26" s="534"/>
    </row>
    <row r="27" ht="12.75">
      <c r="D27" s="534"/>
    </row>
    <row r="28" ht="12.75">
      <c r="D28" s="534"/>
    </row>
    <row r="29" ht="12.75">
      <c r="D29" s="534"/>
    </row>
    <row r="30" ht="12.75">
      <c r="D30" s="681"/>
    </row>
    <row r="31" ht="12.75">
      <c r="D31" s="534"/>
    </row>
    <row r="32" ht="12.75">
      <c r="D32" s="534"/>
    </row>
    <row r="33" ht="12.75">
      <c r="D33" s="534"/>
    </row>
    <row r="34" spans="1:4" ht="12.75">
      <c r="A34" s="667"/>
      <c r="B34" s="534"/>
      <c r="C34" s="534"/>
      <c r="D34" s="534"/>
    </row>
    <row r="35" spans="1:3" ht="12.75">
      <c r="A35" s="667"/>
      <c r="B35" s="534"/>
      <c r="C35" s="534"/>
    </row>
    <row r="36" ht="12.75">
      <c r="C36" s="682"/>
    </row>
    <row r="57" spans="1:3" ht="12.75">
      <c r="A57" s="683" t="s">
        <v>57</v>
      </c>
      <c r="B57" s="683" t="s">
        <v>47</v>
      </c>
      <c r="C57" s="683" t="s">
        <v>8</v>
      </c>
    </row>
    <row r="58" spans="1:3" ht="12.75">
      <c r="A58" s="684">
        <v>1</v>
      </c>
      <c r="B58" s="685" t="s">
        <v>51</v>
      </c>
      <c r="C58" s="686">
        <v>-8144788.9</v>
      </c>
    </row>
    <row r="59" spans="1:3" ht="12.75">
      <c r="A59" s="684"/>
      <c r="B59" s="687"/>
      <c r="C59" s="688"/>
    </row>
    <row r="60" spans="1:3" ht="12.75">
      <c r="A60" s="684"/>
      <c r="B60" s="687"/>
      <c r="C60" s="688"/>
    </row>
    <row r="61" spans="1:3" ht="12.75">
      <c r="A61" s="684">
        <f>A58+1</f>
        <v>2</v>
      </c>
      <c r="B61" s="685" t="s">
        <v>52</v>
      </c>
      <c r="C61" s="688"/>
    </row>
    <row r="62" spans="1:3" ht="12.75">
      <c r="A62" s="684">
        <f>A61+1</f>
        <v>3</v>
      </c>
      <c r="B62" s="687">
        <v>2002</v>
      </c>
      <c r="C62" s="688">
        <v>90104.34</v>
      </c>
    </row>
    <row r="63" spans="1:3" ht="12.75">
      <c r="A63" s="684">
        <f aca="true" t="shared" si="0" ref="A63:A70">A62+1</f>
        <v>4</v>
      </c>
      <c r="B63" s="687">
        <v>2003</v>
      </c>
      <c r="C63" s="688">
        <v>-23688.75</v>
      </c>
    </row>
    <row r="64" spans="1:3" ht="12.75">
      <c r="A64" s="684">
        <f t="shared" si="0"/>
        <v>5</v>
      </c>
      <c r="B64" s="687">
        <v>2004</v>
      </c>
      <c r="C64" s="688">
        <v>33506.34</v>
      </c>
    </row>
    <row r="65" spans="1:3" ht="12.75">
      <c r="A65" s="684">
        <f t="shared" si="0"/>
        <v>6</v>
      </c>
      <c r="B65" s="687">
        <v>2005</v>
      </c>
      <c r="C65" s="688">
        <v>90818.93</v>
      </c>
    </row>
    <row r="66" spans="1:3" ht="12.75">
      <c r="A66" s="684">
        <f>A65+1</f>
        <v>7</v>
      </c>
      <c r="B66" s="687">
        <v>2006</v>
      </c>
      <c r="C66" s="689">
        <v>45035.4</v>
      </c>
    </row>
    <row r="67" spans="1:3" ht="12.75">
      <c r="A67" s="684">
        <f>A66+1</f>
        <v>8</v>
      </c>
      <c r="B67" s="687">
        <v>2007</v>
      </c>
      <c r="C67" s="690">
        <v>3217556.62</v>
      </c>
    </row>
    <row r="68" spans="1:3" ht="12.75">
      <c r="A68" s="684">
        <f>A67+1</f>
        <v>9</v>
      </c>
      <c r="B68" s="687"/>
      <c r="C68" s="688">
        <f>SUM(C62:C67)</f>
        <v>3453332.88</v>
      </c>
    </row>
    <row r="69" spans="1:3" ht="12.75">
      <c r="A69" s="684">
        <f t="shared" si="0"/>
        <v>10</v>
      </c>
      <c r="B69" s="687"/>
      <c r="C69" s="688"/>
    </row>
    <row r="70" spans="1:3" ht="12.75">
      <c r="A70" s="684">
        <f t="shared" si="0"/>
        <v>11</v>
      </c>
      <c r="B70" s="687" t="s">
        <v>53</v>
      </c>
      <c r="C70" s="691">
        <f>+C58+C68</f>
        <v>-4691456.0200000005</v>
      </c>
    </row>
    <row r="71" spans="1:3" ht="12.75">
      <c r="A71" s="684"/>
      <c r="B71" s="687"/>
      <c r="C71" s="688"/>
    </row>
    <row r="72" spans="1:3" ht="12.75">
      <c r="A72" s="684">
        <f>A70+1</f>
        <v>12</v>
      </c>
      <c r="B72" s="685" t="s">
        <v>54</v>
      </c>
      <c r="C72" s="688"/>
    </row>
    <row r="73" spans="1:3" ht="12.75">
      <c r="A73" s="684">
        <f aca="true" t="shared" si="1" ref="A73:A79">A72+1</f>
        <v>13</v>
      </c>
      <c r="B73" s="687">
        <v>2002</v>
      </c>
      <c r="C73" s="688">
        <v>0</v>
      </c>
    </row>
    <row r="74" spans="1:3" ht="12.75">
      <c r="A74" s="684">
        <f t="shared" si="1"/>
        <v>14</v>
      </c>
      <c r="B74" s="687">
        <v>2003</v>
      </c>
      <c r="C74" s="688">
        <v>-215249.01</v>
      </c>
    </row>
    <row r="75" spans="1:3" ht="12.75">
      <c r="A75" s="684">
        <f t="shared" si="1"/>
        <v>15</v>
      </c>
      <c r="B75" s="687">
        <v>2004</v>
      </c>
      <c r="C75" s="688">
        <v>-229391.09</v>
      </c>
    </row>
    <row r="76" spans="1:3" ht="12.75">
      <c r="A76" s="684">
        <f t="shared" si="1"/>
        <v>16</v>
      </c>
      <c r="B76" s="687">
        <v>2005</v>
      </c>
      <c r="C76" s="688">
        <v>-396663.92</v>
      </c>
    </row>
    <row r="77" spans="1:3" ht="12.75">
      <c r="A77" s="684">
        <f t="shared" si="1"/>
        <v>17</v>
      </c>
      <c r="B77" s="687">
        <v>2006</v>
      </c>
      <c r="C77" s="689">
        <v>-588681.24</v>
      </c>
    </row>
    <row r="78" spans="1:3" ht="12.75">
      <c r="A78" s="684">
        <f t="shared" si="1"/>
        <v>18</v>
      </c>
      <c r="B78" s="687">
        <v>2007</v>
      </c>
      <c r="C78" s="689">
        <v>-683688</v>
      </c>
    </row>
    <row r="79" spans="1:3" ht="12.75">
      <c r="A79" s="684">
        <f t="shared" si="1"/>
        <v>19</v>
      </c>
      <c r="B79" s="687"/>
      <c r="C79" s="688">
        <f>SUM(C73:C78)</f>
        <v>-2113673.26</v>
      </c>
    </row>
    <row r="80" spans="1:3" ht="12.75">
      <c r="A80" s="684"/>
      <c r="B80" s="687"/>
      <c r="C80" s="692"/>
    </row>
    <row r="81" spans="1:3" ht="13.5" thickBot="1">
      <c r="A81" s="667">
        <f>A79+1</f>
        <v>20</v>
      </c>
      <c r="B81" s="534" t="s">
        <v>244</v>
      </c>
      <c r="C81" s="693">
        <f>+C70+C79</f>
        <v>-6805129.28</v>
      </c>
    </row>
    <row r="82" ht="13.5" thickTop="1"/>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O145"/>
  <sheetViews>
    <sheetView view="pageBreakPreview" zoomScaleSheetLayoutView="100" zoomScalePageLayoutView="0" workbookViewId="0" topLeftCell="A1">
      <selection activeCell="J21" sqref="J21:K21"/>
    </sheetView>
  </sheetViews>
  <sheetFormatPr defaultColWidth="9.140625" defaultRowHeight="12.75"/>
  <cols>
    <col min="1" max="1" width="9.421875" style="694" customWidth="1"/>
    <col min="2" max="2" width="6.7109375" style="694" customWidth="1"/>
    <col min="3" max="7" width="12.7109375" style="694" customWidth="1"/>
    <col min="8" max="8" width="13.140625" style="694" customWidth="1"/>
    <col min="9" max="9" width="14.8515625" style="694" bestFit="1" customWidth="1"/>
    <col min="10" max="11" width="16.57421875" style="694" bestFit="1" customWidth="1"/>
    <col min="12" max="13" width="22.140625" style="694" bestFit="1" customWidth="1"/>
    <col min="14" max="14" width="8.421875" style="694" customWidth="1"/>
    <col min="15" max="38" width="12.7109375" style="694" customWidth="1"/>
    <col min="39" max="16384" width="9.140625" style="694" customWidth="1"/>
  </cols>
  <sheetData>
    <row r="1" spans="1:15" ht="15">
      <c r="A1" s="1212" t="str">
        <f>+'KP WS C  - Working Capital'!A1:L1</f>
        <v>AEP East Companies</v>
      </c>
      <c r="B1" s="1212"/>
      <c r="C1" s="1212"/>
      <c r="D1" s="1212"/>
      <c r="E1" s="1212"/>
      <c r="F1" s="1212"/>
      <c r="G1" s="1212"/>
      <c r="H1" s="1212"/>
      <c r="I1" s="1212"/>
      <c r="J1" s="1212"/>
      <c r="K1" s="1212"/>
      <c r="L1" s="662"/>
      <c r="M1" s="662"/>
      <c r="N1" s="662"/>
      <c r="O1" s="662"/>
    </row>
    <row r="2" spans="1:15" ht="15">
      <c r="A2" s="1213" t="str">
        <f>"Cost of Service Formula Rate Using Actual/Projected FF1 Balances"</f>
        <v>Cost of Service Formula Rate Using Actual/Projected FF1 Balances</v>
      </c>
      <c r="B2" s="1213"/>
      <c r="C2" s="1213"/>
      <c r="D2" s="1213"/>
      <c r="E2" s="1213"/>
      <c r="F2" s="1213"/>
      <c r="G2" s="1213"/>
      <c r="H2" s="1213"/>
      <c r="I2" s="1213"/>
      <c r="J2" s="1213"/>
      <c r="K2" s="1213"/>
      <c r="L2" s="664"/>
      <c r="M2" s="664"/>
      <c r="N2" s="664"/>
      <c r="O2" s="664"/>
    </row>
    <row r="3" spans="1:15" ht="15">
      <c r="A3" s="1213" t="s">
        <v>312</v>
      </c>
      <c r="B3" s="1213"/>
      <c r="C3" s="1213"/>
      <c r="D3" s="1213"/>
      <c r="E3" s="1213"/>
      <c r="F3" s="1213"/>
      <c r="G3" s="1213"/>
      <c r="H3" s="1213"/>
      <c r="I3" s="1213"/>
      <c r="J3" s="1213"/>
      <c r="K3" s="1213"/>
      <c r="L3" s="663"/>
      <c r="M3" s="663"/>
      <c r="N3" s="663"/>
      <c r="O3" s="663"/>
    </row>
    <row r="4" spans="1:15" ht="15">
      <c r="A4" s="1214" t="str">
        <f>+'KP WS D IPP Credits'!A4:C4</f>
        <v>KENTUCKY POWER COMPANY</v>
      </c>
      <c r="B4" s="1214"/>
      <c r="C4" s="1214"/>
      <c r="D4" s="1214"/>
      <c r="E4" s="1214"/>
      <c r="F4" s="1214"/>
      <c r="G4" s="1214"/>
      <c r="H4" s="1214"/>
      <c r="I4" s="1214"/>
      <c r="J4" s="1214"/>
      <c r="K4" s="1214"/>
      <c r="L4" s="437"/>
      <c r="M4" s="437"/>
      <c r="N4" s="437"/>
      <c r="O4" s="437"/>
    </row>
    <row r="5" spans="1:15" ht="15">
      <c r="A5" s="695"/>
      <c r="B5" s="695"/>
      <c r="C5" s="695"/>
      <c r="D5" s="695"/>
      <c r="E5" s="695"/>
      <c r="F5" s="695"/>
      <c r="G5" s="695"/>
      <c r="H5" s="695"/>
      <c r="I5" s="695"/>
      <c r="J5" s="695"/>
      <c r="K5" s="695"/>
      <c r="L5" s="695"/>
      <c r="M5" s="695"/>
      <c r="N5" s="695"/>
      <c r="O5" s="695"/>
    </row>
    <row r="6" spans="1:13" ht="18">
      <c r="A6" s="1218"/>
      <c r="B6" s="1218"/>
      <c r="C6" s="1218"/>
      <c r="D6" s="1218"/>
      <c r="E6" s="1218"/>
      <c r="F6" s="1218"/>
      <c r="G6" s="1218"/>
      <c r="H6" s="1218"/>
      <c r="I6" s="1218"/>
      <c r="J6" s="1218"/>
      <c r="K6" s="1218"/>
      <c r="L6" s="697"/>
      <c r="M6" s="698"/>
    </row>
    <row r="7" spans="1:13" ht="18">
      <c r="A7" s="696"/>
      <c r="B7" s="696"/>
      <c r="C7" s="696"/>
      <c r="D7" s="696"/>
      <c r="E7" s="696"/>
      <c r="F7" s="696"/>
      <c r="G7" s="696"/>
      <c r="H7" s="696"/>
      <c r="I7" s="696"/>
      <c r="J7" s="696"/>
      <c r="K7" s="696"/>
      <c r="L7" s="697"/>
      <c r="M7" s="698"/>
    </row>
    <row r="8" spans="1:22" ht="15.75">
      <c r="A8" s="699" t="s">
        <v>201</v>
      </c>
      <c r="B8" s="697"/>
      <c r="C8" s="700"/>
      <c r="D8" s="700"/>
      <c r="E8" s="700"/>
      <c r="F8" s="700"/>
      <c r="G8" s="701"/>
      <c r="H8" s="701"/>
      <c r="I8" s="699" t="s">
        <v>229</v>
      </c>
      <c r="J8" s="699" t="s">
        <v>46</v>
      </c>
      <c r="K8" s="702"/>
      <c r="N8" s="703"/>
      <c r="P8" s="703"/>
      <c r="R8" s="703"/>
      <c r="S8" s="703"/>
      <c r="T8" s="703"/>
      <c r="U8" s="648"/>
      <c r="V8" s="648"/>
    </row>
    <row r="9" spans="1:22" ht="15.75">
      <c r="A9" s="699" t="s">
        <v>137</v>
      </c>
      <c r="B9" s="1219" t="s">
        <v>199</v>
      </c>
      <c r="C9" s="1219"/>
      <c r="D9" s="1219"/>
      <c r="E9" s="1219"/>
      <c r="F9" s="1219"/>
      <c r="G9" s="1219"/>
      <c r="H9" s="1219"/>
      <c r="I9" s="704" t="s">
        <v>230</v>
      </c>
      <c r="J9" s="704" t="s">
        <v>147</v>
      </c>
      <c r="K9" s="704" t="s">
        <v>147</v>
      </c>
      <c r="L9" s="705"/>
      <c r="M9" s="705"/>
      <c r="N9" s="703"/>
      <c r="O9" s="703"/>
      <c r="P9" s="703"/>
      <c r="Q9" s="703"/>
      <c r="R9" s="703"/>
      <c r="S9" s="703"/>
      <c r="T9" s="706"/>
      <c r="U9" s="648"/>
      <c r="V9" s="648"/>
    </row>
    <row r="10" spans="1:22" ht="15.75">
      <c r="A10" s="701"/>
      <c r="B10" s="707"/>
      <c r="C10" s="697"/>
      <c r="D10" s="701"/>
      <c r="E10" s="701"/>
      <c r="F10" s="701"/>
      <c r="G10" s="701"/>
      <c r="H10" s="701"/>
      <c r="I10" s="701"/>
      <c r="J10" s="701"/>
      <c r="K10" s="708"/>
      <c r="L10" s="705"/>
      <c r="M10" s="705"/>
      <c r="N10" s="703"/>
      <c r="O10" s="703"/>
      <c r="P10" s="703"/>
      <c r="Q10" s="703"/>
      <c r="R10" s="703"/>
      <c r="S10" s="703"/>
      <c r="T10" s="706"/>
      <c r="U10" s="648"/>
      <c r="V10" s="648"/>
    </row>
    <row r="11" spans="1:22" s="715" customFormat="1" ht="12.75">
      <c r="A11" s="709">
        <v>1</v>
      </c>
      <c r="B11" s="710" t="s">
        <v>614</v>
      </c>
      <c r="C11" s="680"/>
      <c r="D11" s="711"/>
      <c r="E11" s="711"/>
      <c r="F11" s="711"/>
      <c r="G11" s="711"/>
      <c r="H11" s="711"/>
      <c r="I11" s="1076">
        <v>3478276</v>
      </c>
      <c r="J11" s="712">
        <f>+I11-K11</f>
        <v>3478276</v>
      </c>
      <c r="K11" s="1076">
        <v>0</v>
      </c>
      <c r="L11" s="713"/>
      <c r="M11" s="713"/>
      <c r="N11" s="680"/>
      <c r="O11" s="680"/>
      <c r="P11" s="680"/>
      <c r="Q11" s="680"/>
      <c r="R11" s="680"/>
      <c r="S11" s="680"/>
      <c r="T11" s="714"/>
      <c r="U11" s="680"/>
      <c r="V11" s="680"/>
    </row>
    <row r="12" spans="1:22" s="715" customFormat="1" ht="12.75">
      <c r="A12" s="716"/>
      <c r="B12" s="717"/>
      <c r="C12" s="718"/>
      <c r="D12" s="719"/>
      <c r="E12" s="719"/>
      <c r="F12" s="719"/>
      <c r="G12" s="719"/>
      <c r="H12" s="711"/>
      <c r="I12" s="720"/>
      <c r="J12" s="721"/>
      <c r="K12" s="720"/>
      <c r="L12" s="713"/>
      <c r="M12" s="713"/>
      <c r="N12" s="680"/>
      <c r="O12" s="680"/>
      <c r="P12" s="680"/>
      <c r="Q12" s="680"/>
      <c r="R12" s="680"/>
      <c r="S12" s="680"/>
      <c r="T12" s="714"/>
      <c r="U12" s="680"/>
      <c r="V12" s="680"/>
    </row>
    <row r="13" spans="1:22" s="715" customFormat="1" ht="12.75">
      <c r="A13" s="709">
        <f>+A11+1</f>
        <v>2</v>
      </c>
      <c r="B13" s="722" t="s">
        <v>615</v>
      </c>
      <c r="C13" s="680"/>
      <c r="D13" s="711"/>
      <c r="E13" s="711"/>
      <c r="F13" s="711"/>
      <c r="G13" s="711"/>
      <c r="H13" s="711"/>
      <c r="I13" s="1076">
        <v>450585</v>
      </c>
      <c r="J13" s="712">
        <f>+I13-K13</f>
        <v>438606.1835790952</v>
      </c>
      <c r="K13" s="1076">
        <v>11978.816420904825</v>
      </c>
      <c r="L13" s="713"/>
      <c r="M13" s="713"/>
      <c r="N13" s="680"/>
      <c r="O13" s="680"/>
      <c r="P13" s="680"/>
      <c r="Q13" s="680"/>
      <c r="R13" s="680"/>
      <c r="S13" s="680"/>
      <c r="T13" s="680"/>
      <c r="U13" s="680"/>
      <c r="V13" s="680"/>
    </row>
    <row r="14" spans="1:22" s="715" customFormat="1" ht="12.75">
      <c r="A14" s="716"/>
      <c r="B14" s="723"/>
      <c r="C14" s="718"/>
      <c r="D14" s="719"/>
      <c r="E14" s="719"/>
      <c r="F14" s="719"/>
      <c r="G14" s="719"/>
      <c r="H14" s="711"/>
      <c r="I14" s="721"/>
      <c r="J14" s="721"/>
      <c r="K14" s="721"/>
      <c r="L14" s="713"/>
      <c r="M14" s="713"/>
      <c r="N14" s="680"/>
      <c r="O14" s="680"/>
      <c r="P14" s="680"/>
      <c r="Q14" s="680"/>
      <c r="R14" s="680"/>
      <c r="S14" s="680"/>
      <c r="T14" s="680"/>
      <c r="U14" s="680"/>
      <c r="V14" s="680"/>
    </row>
    <row r="15" spans="1:22" s="715" customFormat="1" ht="12.75">
      <c r="A15" s="709">
        <f>+A13+1</f>
        <v>3</v>
      </c>
      <c r="B15" s="722" t="s">
        <v>616</v>
      </c>
      <c r="C15" s="680"/>
      <c r="D15" s="711"/>
      <c r="E15" s="711"/>
      <c r="F15" s="711"/>
      <c r="G15" s="711"/>
      <c r="H15" s="711"/>
      <c r="I15" s="1076">
        <v>5593496</v>
      </c>
      <c r="J15" s="712">
        <f>+I15-K15</f>
        <v>5576387.072290787</v>
      </c>
      <c r="K15" s="1076">
        <v>17108.927709213378</v>
      </c>
      <c r="L15" s="713"/>
      <c r="M15" s="713"/>
      <c r="N15" s="680"/>
      <c r="O15" s="680"/>
      <c r="P15" s="680"/>
      <c r="Q15" s="680"/>
      <c r="R15" s="680"/>
      <c r="S15" s="680"/>
      <c r="T15" s="680"/>
      <c r="U15" s="680"/>
      <c r="V15" s="680"/>
    </row>
    <row r="16" spans="1:22" s="715" customFormat="1" ht="12.75">
      <c r="A16" s="716"/>
      <c r="B16" s="719"/>
      <c r="C16" s="718"/>
      <c r="D16" s="719"/>
      <c r="E16" s="719"/>
      <c r="F16" s="719"/>
      <c r="G16" s="725"/>
      <c r="H16" s="711"/>
      <c r="I16" s="721"/>
      <c r="J16" s="721"/>
      <c r="K16" s="721" t="s">
        <v>146</v>
      </c>
      <c r="L16" s="713"/>
      <c r="M16" s="713"/>
      <c r="N16" s="680"/>
      <c r="O16" s="680"/>
      <c r="P16" s="680"/>
      <c r="Q16" s="680"/>
      <c r="R16" s="680"/>
      <c r="S16" s="680"/>
      <c r="T16" s="680"/>
      <c r="U16" s="680"/>
      <c r="V16" s="680"/>
    </row>
    <row r="17" spans="1:22" s="715" customFormat="1" ht="12.75">
      <c r="A17" s="709">
        <f>+A15+1</f>
        <v>4</v>
      </c>
      <c r="B17" s="722" t="s">
        <v>617</v>
      </c>
      <c r="C17" s="680"/>
      <c r="D17" s="711"/>
      <c r="E17" s="711"/>
      <c r="F17" s="711"/>
      <c r="G17" s="724"/>
      <c r="H17" s="711"/>
      <c r="I17" s="1076">
        <v>391000</v>
      </c>
      <c r="J17" s="712">
        <f>+I17-K17</f>
        <v>328203.7429286194</v>
      </c>
      <c r="K17" s="1076">
        <v>62796.25707138063</v>
      </c>
      <c r="L17" s="713"/>
      <c r="M17" s="713"/>
      <c r="N17" s="726"/>
      <c r="O17" s="680"/>
      <c r="P17" s="680"/>
      <c r="Q17" s="680"/>
      <c r="R17" s="680"/>
      <c r="S17" s="680"/>
      <c r="T17" s="680"/>
      <c r="U17" s="680"/>
      <c r="V17" s="680"/>
    </row>
    <row r="18" spans="1:22" s="715" customFormat="1" ht="12.75">
      <c r="A18" s="716"/>
      <c r="B18" s="723"/>
      <c r="C18" s="718"/>
      <c r="D18" s="719"/>
      <c r="E18" s="719"/>
      <c r="F18" s="719"/>
      <c r="G18" s="725"/>
      <c r="H18" s="711"/>
      <c r="I18" s="680"/>
      <c r="J18" s="680"/>
      <c r="K18" s="680" t="s">
        <v>146</v>
      </c>
      <c r="L18" s="727"/>
      <c r="M18" s="713"/>
      <c r="N18" s="726"/>
      <c r="O18" s="680"/>
      <c r="P18" s="680"/>
      <c r="Q18" s="680"/>
      <c r="R18" s="680"/>
      <c r="S18" s="680"/>
      <c r="T18" s="680"/>
      <c r="U18" s="680"/>
      <c r="V18" s="680"/>
    </row>
    <row r="19" spans="1:22" s="715" customFormat="1" ht="12.75">
      <c r="A19" s="709">
        <f>+A17+1</f>
        <v>5</v>
      </c>
      <c r="B19" s="722" t="s">
        <v>618</v>
      </c>
      <c r="C19" s="680"/>
      <c r="D19" s="711"/>
      <c r="E19" s="711"/>
      <c r="F19" s="711"/>
      <c r="G19" s="724"/>
      <c r="H19" s="711"/>
      <c r="I19" s="1076">
        <v>23779851</v>
      </c>
      <c r="J19" s="712">
        <f>+I19-K19</f>
        <v>23769301.3511393</v>
      </c>
      <c r="K19" s="1076">
        <v>10549.64886069877</v>
      </c>
      <c r="L19" s="713"/>
      <c r="M19" s="713"/>
      <c r="N19" s="726"/>
      <c r="O19" s="680"/>
      <c r="P19" s="680"/>
      <c r="Q19" s="680"/>
      <c r="R19" s="680"/>
      <c r="S19" s="680"/>
      <c r="T19" s="680"/>
      <c r="U19" s="680"/>
      <c r="V19" s="680"/>
    </row>
    <row r="20" spans="1:22" s="715" customFormat="1" ht="12.75">
      <c r="A20" s="716"/>
      <c r="B20" s="723"/>
      <c r="C20" s="718"/>
      <c r="D20" s="719"/>
      <c r="E20" s="719"/>
      <c r="F20" s="719"/>
      <c r="G20" s="725"/>
      <c r="H20" s="711"/>
      <c r="I20" s="680"/>
      <c r="J20" s="680"/>
      <c r="K20" s="680"/>
      <c r="L20" s="713"/>
      <c r="M20" s="713"/>
      <c r="N20" s="680"/>
      <c r="O20" s="680"/>
      <c r="P20" s="680"/>
      <c r="Q20" s="680"/>
      <c r="R20" s="680"/>
      <c r="S20" s="680"/>
      <c r="T20" s="680"/>
      <c r="U20" s="680"/>
      <c r="V20" s="680"/>
    </row>
    <row r="21" spans="1:22" s="715" customFormat="1" ht="12.75">
      <c r="A21" s="709">
        <f>+A19+1</f>
        <v>6</v>
      </c>
      <c r="B21" s="722" t="s">
        <v>104</v>
      </c>
      <c r="C21" s="680"/>
      <c r="D21" s="711"/>
      <c r="E21" s="711"/>
      <c r="F21" s="711"/>
      <c r="G21" s="724"/>
      <c r="H21" s="711"/>
      <c r="I21" s="728">
        <f>+I19+I17+I15+I13+I11</f>
        <v>33693208</v>
      </c>
      <c r="J21" s="728">
        <f>+J19+J17+J15+J13+J11</f>
        <v>33590774.3499378</v>
      </c>
      <c r="K21" s="728">
        <f>+K19+K17+K15+K13+K11</f>
        <v>102433.65006219759</v>
      </c>
      <c r="L21" s="713"/>
      <c r="M21" s="713"/>
      <c r="N21" s="680"/>
      <c r="O21" s="680"/>
      <c r="P21" s="680"/>
      <c r="Q21" s="680"/>
      <c r="R21" s="680"/>
      <c r="S21" s="680"/>
      <c r="T21" s="680"/>
      <c r="U21" s="680"/>
      <c r="V21" s="680"/>
    </row>
    <row r="22" spans="1:22" s="715" customFormat="1" ht="12.75">
      <c r="A22" s="716"/>
      <c r="B22" s="723"/>
      <c r="C22" s="718"/>
      <c r="D22" s="719"/>
      <c r="E22" s="719"/>
      <c r="F22" s="719"/>
      <c r="G22" s="725"/>
      <c r="H22" s="711"/>
      <c r="I22" s="680"/>
      <c r="J22" s="680"/>
      <c r="K22" s="680"/>
      <c r="L22" s="713"/>
      <c r="M22" s="713"/>
      <c r="N22" s="680"/>
      <c r="O22" s="680"/>
      <c r="P22" s="680"/>
      <c r="Q22" s="680"/>
      <c r="R22" s="680"/>
      <c r="S22" s="680"/>
      <c r="T22" s="680"/>
      <c r="U22" s="680"/>
      <c r="V22" s="680"/>
    </row>
    <row r="23" spans="1:22" s="715" customFormat="1" ht="12.75">
      <c r="A23" s="709">
        <f>+A21+1</f>
        <v>7</v>
      </c>
      <c r="B23" s="1215" t="s">
        <v>619</v>
      </c>
      <c r="C23" s="1191"/>
      <c r="D23" s="1191"/>
      <c r="E23" s="1191"/>
      <c r="F23" s="1191"/>
      <c r="G23" s="1191"/>
      <c r="H23" s="721"/>
      <c r="I23" s="1076">
        <v>0</v>
      </c>
      <c r="J23" s="712">
        <f>+I23-K23</f>
        <v>0</v>
      </c>
      <c r="K23" s="1076">
        <v>0</v>
      </c>
      <c r="L23" s="713"/>
      <c r="M23" s="713"/>
      <c r="N23" s="680"/>
      <c r="O23" s="680"/>
      <c r="P23" s="680"/>
      <c r="Q23" s="680"/>
      <c r="R23" s="680"/>
      <c r="S23" s="680"/>
      <c r="T23" s="680"/>
      <c r="U23" s="680"/>
      <c r="V23" s="680"/>
    </row>
    <row r="24" spans="1:22" s="715" customFormat="1" ht="12.75">
      <c r="A24" s="680"/>
      <c r="B24" s="1191"/>
      <c r="C24" s="1191"/>
      <c r="D24" s="1191"/>
      <c r="E24" s="1191"/>
      <c r="F24" s="1191"/>
      <c r="G24" s="1191"/>
      <c r="H24" s="711"/>
      <c r="I24" s="729"/>
      <c r="J24" s="711"/>
      <c r="K24" s="730"/>
      <c r="L24" s="713"/>
      <c r="M24" s="713"/>
      <c r="N24" s="680"/>
      <c r="O24" s="680"/>
      <c r="P24" s="680"/>
      <c r="Q24" s="680"/>
      <c r="R24" s="680"/>
      <c r="S24" s="680"/>
      <c r="T24" s="680"/>
      <c r="U24" s="680"/>
      <c r="V24" s="680"/>
    </row>
    <row r="25" spans="1:22" s="715" customFormat="1" ht="12.75">
      <c r="A25" s="716">
        <f>+A23+1</f>
        <v>8</v>
      </c>
      <c r="B25" s="717" t="s">
        <v>281</v>
      </c>
      <c r="C25" s="718"/>
      <c r="D25" s="719"/>
      <c r="E25" s="719"/>
      <c r="F25" s="719"/>
      <c r="G25" s="725"/>
      <c r="H25" s="711"/>
      <c r="I25" s="731">
        <f>SUM(I21:I23)</f>
        <v>33693208</v>
      </c>
      <c r="J25" s="731">
        <f>SUM(J21:J23)</f>
        <v>33590774.3499378</v>
      </c>
      <c r="K25" s="731">
        <f>SUM(K21:K23)</f>
        <v>102433.65006219759</v>
      </c>
      <c r="L25" s="713"/>
      <c r="M25" s="713"/>
      <c r="N25" s="680"/>
      <c r="O25" s="680"/>
      <c r="P25" s="680"/>
      <c r="Q25" s="680"/>
      <c r="R25" s="680"/>
      <c r="S25" s="680"/>
      <c r="T25" s="680"/>
      <c r="U25" s="680"/>
      <c r="V25" s="680"/>
    </row>
    <row r="26" spans="1:22" s="715" customFormat="1" ht="12.75">
      <c r="A26" s="716"/>
      <c r="B26" s="717"/>
      <c r="C26" s="718"/>
      <c r="D26" s="719"/>
      <c r="E26" s="719"/>
      <c r="F26" s="719"/>
      <c r="G26" s="725"/>
      <c r="H26" s="711"/>
      <c r="I26" s="730"/>
      <c r="J26" s="730"/>
      <c r="K26" s="730"/>
      <c r="L26" s="713"/>
      <c r="M26" s="713"/>
      <c r="N26" s="680"/>
      <c r="O26" s="680"/>
      <c r="P26" s="680"/>
      <c r="Q26" s="680"/>
      <c r="R26" s="680"/>
      <c r="S26" s="680"/>
      <c r="T26" s="680"/>
      <c r="U26" s="680"/>
      <c r="V26" s="680"/>
    </row>
    <row r="27" spans="1:22" s="715" customFormat="1" ht="12.75">
      <c r="A27" s="716"/>
      <c r="B27" s="717"/>
      <c r="C27" s="718"/>
      <c r="D27" s="719"/>
      <c r="E27" s="719"/>
      <c r="F27" s="719"/>
      <c r="G27" s="725"/>
      <c r="H27" s="711"/>
      <c r="I27" s="730"/>
      <c r="J27" s="730"/>
      <c r="K27" s="730"/>
      <c r="L27" s="713"/>
      <c r="M27" s="713"/>
      <c r="N27" s="680"/>
      <c r="O27" s="680"/>
      <c r="P27" s="680"/>
      <c r="Q27" s="680"/>
      <c r="R27" s="680"/>
      <c r="S27" s="680"/>
      <c r="T27" s="680"/>
      <c r="U27" s="680"/>
      <c r="V27" s="680"/>
    </row>
    <row r="28" spans="12:22" s="715" customFormat="1" ht="12.75">
      <c r="L28" s="713"/>
      <c r="M28" s="713"/>
      <c r="N28" s="680"/>
      <c r="O28" s="680"/>
      <c r="P28" s="680"/>
      <c r="Q28" s="680"/>
      <c r="R28" s="680"/>
      <c r="S28" s="680"/>
      <c r="T28" s="680"/>
      <c r="U28" s="680"/>
      <c r="V28" s="680"/>
    </row>
    <row r="29" spans="1:22" ht="15">
      <c r="A29" s="711"/>
      <c r="B29" s="680"/>
      <c r="C29" s="710"/>
      <c r="D29" s="711"/>
      <c r="E29" s="711"/>
      <c r="F29" s="711"/>
      <c r="G29" s="724"/>
      <c r="H29" s="711"/>
      <c r="I29" s="711"/>
      <c r="J29" s="711"/>
      <c r="K29" s="711"/>
      <c r="L29" s="732"/>
      <c r="M29" s="733"/>
      <c r="N29" s="648"/>
      <c r="O29" s="700"/>
      <c r="P29" s="700"/>
      <c r="Q29" s="700"/>
      <c r="R29" s="700"/>
      <c r="S29" s="648"/>
      <c r="T29" s="648"/>
      <c r="U29" s="648"/>
      <c r="V29" s="648"/>
    </row>
    <row r="30" spans="1:22" ht="15">
      <c r="A30" s="680" t="s">
        <v>641</v>
      </c>
      <c r="B30" s="121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30" s="1217"/>
      <c r="D30" s="1217"/>
      <c r="E30" s="1217"/>
      <c r="F30" s="1217"/>
      <c r="G30" s="1217"/>
      <c r="H30" s="1217"/>
      <c r="I30" s="1217"/>
      <c r="J30" s="1217"/>
      <c r="K30" s="680"/>
      <c r="L30" s="735"/>
      <c r="M30" s="735"/>
      <c r="N30" s="648"/>
      <c r="O30" s="700"/>
      <c r="P30" s="700"/>
      <c r="Q30" s="700"/>
      <c r="R30" s="700"/>
      <c r="S30" s="648"/>
      <c r="T30" s="703"/>
      <c r="U30" s="648"/>
      <c r="V30" s="648"/>
    </row>
    <row r="31" spans="1:41" ht="15.75">
      <c r="A31" s="680"/>
      <c r="B31" s="1217"/>
      <c r="C31" s="1217"/>
      <c r="D31" s="1217"/>
      <c r="E31" s="1217"/>
      <c r="F31" s="1217"/>
      <c r="G31" s="1217"/>
      <c r="H31" s="1217"/>
      <c r="I31" s="1217"/>
      <c r="J31" s="1217"/>
      <c r="K31" s="680"/>
      <c r="L31" s="647"/>
      <c r="M31" s="736"/>
      <c r="N31" s="736"/>
      <c r="O31" s="736"/>
      <c r="P31" s="736"/>
      <c r="Q31" s="736"/>
      <c r="R31" s="647"/>
      <c r="S31" s="647"/>
      <c r="T31" s="647"/>
      <c r="U31" s="647"/>
      <c r="V31" s="647"/>
      <c r="W31" s="705"/>
      <c r="X31" s="705"/>
      <c r="Y31" s="705"/>
      <c r="Z31" s="705"/>
      <c r="AA31" s="705"/>
      <c r="AB31" s="705"/>
      <c r="AC31" s="705"/>
      <c r="AD31" s="705"/>
      <c r="AE31" s="705"/>
      <c r="AF31" s="705"/>
      <c r="AG31" s="705"/>
      <c r="AH31" s="705"/>
      <c r="AI31" s="705"/>
      <c r="AJ31" s="705"/>
      <c r="AK31" s="705"/>
      <c r="AL31" s="705"/>
      <c r="AM31" s="705"/>
      <c r="AN31" s="705"/>
      <c r="AO31" s="705"/>
    </row>
    <row r="32" spans="1:41" ht="15.75">
      <c r="A32" s="680"/>
      <c r="B32" s="1217"/>
      <c r="C32" s="1217"/>
      <c r="D32" s="1217"/>
      <c r="E32" s="1217"/>
      <c r="F32" s="1217"/>
      <c r="G32" s="1217"/>
      <c r="H32" s="1217"/>
      <c r="I32" s="1217"/>
      <c r="J32" s="1217"/>
      <c r="K32" s="737"/>
      <c r="L32" s="647"/>
      <c r="M32" s="736"/>
      <c r="N32" s="736"/>
      <c r="O32" s="736"/>
      <c r="P32" s="736"/>
      <c r="Q32" s="736"/>
      <c r="R32" s="647"/>
      <c r="S32" s="647"/>
      <c r="T32" s="647"/>
      <c r="U32" s="647"/>
      <c r="V32" s="647"/>
      <c r="W32" s="705"/>
      <c r="X32" s="705"/>
      <c r="Y32" s="705"/>
      <c r="Z32" s="705"/>
      <c r="AA32" s="705"/>
      <c r="AB32" s="705"/>
      <c r="AC32" s="705"/>
      <c r="AD32" s="705"/>
      <c r="AE32" s="705"/>
      <c r="AF32" s="705"/>
      <c r="AG32" s="705"/>
      <c r="AH32" s="705"/>
      <c r="AI32" s="705"/>
      <c r="AJ32" s="705"/>
      <c r="AK32" s="705"/>
      <c r="AL32" s="705"/>
      <c r="AM32" s="705"/>
      <c r="AN32" s="705"/>
      <c r="AO32" s="705"/>
    </row>
    <row r="33" spans="1:41" ht="15.75">
      <c r="A33" s="709">
        <f>+A25+1</f>
        <v>9</v>
      </c>
      <c r="B33" s="722" t="s">
        <v>701</v>
      </c>
      <c r="C33" s="680"/>
      <c r="D33" s="711"/>
      <c r="E33" s="711"/>
      <c r="F33" s="711"/>
      <c r="G33" s="724"/>
      <c r="H33" s="711"/>
      <c r="I33" s="730"/>
      <c r="J33" s="730"/>
      <c r="K33" s="1076">
        <v>0</v>
      </c>
      <c r="L33" s="647"/>
      <c r="M33" s="736"/>
      <c r="N33" s="736"/>
      <c r="O33" s="736"/>
      <c r="P33" s="736"/>
      <c r="Q33" s="736"/>
      <c r="R33" s="647"/>
      <c r="S33" s="647"/>
      <c r="T33" s="647"/>
      <c r="U33" s="647"/>
      <c r="V33" s="647"/>
      <c r="W33" s="705"/>
      <c r="X33" s="705"/>
      <c r="Y33" s="705"/>
      <c r="Z33" s="705"/>
      <c r="AA33" s="705"/>
      <c r="AB33" s="705"/>
      <c r="AC33" s="705"/>
      <c r="AD33" s="705"/>
      <c r="AE33" s="705"/>
      <c r="AF33" s="705"/>
      <c r="AG33" s="705"/>
      <c r="AH33" s="705"/>
      <c r="AI33" s="705"/>
      <c r="AJ33" s="705"/>
      <c r="AK33" s="705"/>
      <c r="AL33" s="705"/>
      <c r="AM33" s="705"/>
      <c r="AN33" s="705"/>
      <c r="AO33" s="705"/>
    </row>
    <row r="34" spans="1:41" ht="15.75">
      <c r="A34" s="648"/>
      <c r="B34" s="647"/>
      <c r="E34" s="736"/>
      <c r="F34" s="736"/>
      <c r="G34" s="736"/>
      <c r="H34" s="736"/>
      <c r="I34" s="738"/>
      <c r="J34" s="736"/>
      <c r="K34" s="736"/>
      <c r="L34" s="647"/>
      <c r="M34" s="736"/>
      <c r="N34" s="736"/>
      <c r="O34" s="736"/>
      <c r="P34" s="736"/>
      <c r="Q34" s="736"/>
      <c r="R34" s="647"/>
      <c r="S34" s="647"/>
      <c r="T34" s="647"/>
      <c r="U34" s="647"/>
      <c r="V34" s="647"/>
      <c r="W34" s="705"/>
      <c r="X34" s="705"/>
      <c r="Y34" s="705"/>
      <c r="Z34" s="705"/>
      <c r="AA34" s="705"/>
      <c r="AB34" s="705"/>
      <c r="AC34" s="705"/>
      <c r="AD34" s="705"/>
      <c r="AE34" s="705"/>
      <c r="AF34" s="705"/>
      <c r="AG34" s="705"/>
      <c r="AH34" s="705"/>
      <c r="AI34" s="705"/>
      <c r="AJ34" s="705"/>
      <c r="AK34" s="705"/>
      <c r="AL34" s="705"/>
      <c r="AM34" s="705"/>
      <c r="AN34" s="705"/>
      <c r="AO34" s="705"/>
    </row>
    <row r="35" spans="1:41" ht="15.75">
      <c r="A35" s="648"/>
      <c r="B35" s="647"/>
      <c r="E35" s="736"/>
      <c r="F35" s="736"/>
      <c r="G35" s="736"/>
      <c r="H35" s="736"/>
      <c r="I35" s="736" t="s">
        <v>146</v>
      </c>
      <c r="J35" s="736"/>
      <c r="K35" s="736"/>
      <c r="L35" s="647"/>
      <c r="M35" s="736"/>
      <c r="N35" s="736"/>
      <c r="O35" s="736"/>
      <c r="P35" s="736"/>
      <c r="Q35" s="736"/>
      <c r="R35" s="647"/>
      <c r="S35" s="647"/>
      <c r="T35" s="647"/>
      <c r="U35" s="647"/>
      <c r="V35" s="647"/>
      <c r="W35" s="705"/>
      <c r="X35" s="705"/>
      <c r="Y35" s="705"/>
      <c r="Z35" s="705"/>
      <c r="AA35" s="705"/>
      <c r="AB35" s="705"/>
      <c r="AC35" s="705"/>
      <c r="AD35" s="705"/>
      <c r="AE35" s="705"/>
      <c r="AF35" s="705"/>
      <c r="AG35" s="705"/>
      <c r="AH35" s="705"/>
      <c r="AI35" s="705"/>
      <c r="AJ35" s="705"/>
      <c r="AK35" s="705"/>
      <c r="AL35" s="705"/>
      <c r="AM35" s="705"/>
      <c r="AN35" s="705"/>
      <c r="AO35" s="705"/>
    </row>
    <row r="36" spans="1:41" ht="15.75">
      <c r="A36" s="648"/>
      <c r="B36" s="647"/>
      <c r="E36" s="736"/>
      <c r="F36" s="736"/>
      <c r="G36" s="736"/>
      <c r="H36" s="736"/>
      <c r="I36" s="736" t="s">
        <v>146</v>
      </c>
      <c r="J36" s="736"/>
      <c r="K36" s="736"/>
      <c r="L36" s="647"/>
      <c r="M36" s="736"/>
      <c r="N36" s="736"/>
      <c r="O36" s="736"/>
      <c r="P36" s="736"/>
      <c r="Q36" s="736"/>
      <c r="R36" s="647"/>
      <c r="S36" s="647"/>
      <c r="T36" s="647"/>
      <c r="U36" s="647"/>
      <c r="V36" s="647"/>
      <c r="W36" s="705"/>
      <c r="X36" s="705"/>
      <c r="Y36" s="705"/>
      <c r="Z36" s="705"/>
      <c r="AA36" s="705"/>
      <c r="AB36" s="705"/>
      <c r="AC36" s="705"/>
      <c r="AD36" s="705"/>
      <c r="AE36" s="705"/>
      <c r="AF36" s="705"/>
      <c r="AG36" s="705"/>
      <c r="AH36" s="705"/>
      <c r="AI36" s="705"/>
      <c r="AJ36" s="705"/>
      <c r="AK36" s="705"/>
      <c r="AL36" s="705"/>
      <c r="AM36" s="705"/>
      <c r="AN36" s="705"/>
      <c r="AO36" s="705"/>
    </row>
    <row r="37" spans="1:41" ht="15.75">
      <c r="A37" s="648"/>
      <c r="B37" s="647"/>
      <c r="E37" s="736"/>
      <c r="F37" s="736"/>
      <c r="G37" s="736"/>
      <c r="H37" s="736"/>
      <c r="I37" s="736"/>
      <c r="J37" s="736"/>
      <c r="K37" s="736"/>
      <c r="L37" s="647"/>
      <c r="M37" s="736"/>
      <c r="N37" s="736"/>
      <c r="O37" s="736"/>
      <c r="P37" s="736"/>
      <c r="Q37" s="736"/>
      <c r="R37" s="647"/>
      <c r="S37" s="647"/>
      <c r="T37" s="647"/>
      <c r="U37" s="647"/>
      <c r="V37" s="647"/>
      <c r="W37" s="705"/>
      <c r="X37" s="705"/>
      <c r="Y37" s="705"/>
      <c r="Z37" s="705"/>
      <c r="AA37" s="705"/>
      <c r="AB37" s="705"/>
      <c r="AC37" s="705"/>
      <c r="AD37" s="705"/>
      <c r="AE37" s="705"/>
      <c r="AF37" s="705"/>
      <c r="AG37" s="705"/>
      <c r="AH37" s="705"/>
      <c r="AI37" s="705"/>
      <c r="AJ37" s="705"/>
      <c r="AK37" s="705"/>
      <c r="AL37" s="705"/>
      <c r="AM37" s="705"/>
      <c r="AN37" s="705"/>
      <c r="AO37" s="705"/>
    </row>
    <row r="38" spans="1:41" ht="15.75">
      <c r="A38" s="648"/>
      <c r="B38" s="647"/>
      <c r="E38" s="736"/>
      <c r="F38" s="736"/>
      <c r="G38" s="736"/>
      <c r="H38" s="736"/>
      <c r="I38" s="736"/>
      <c r="J38" s="736"/>
      <c r="K38" s="736"/>
      <c r="L38" s="647"/>
      <c r="M38" s="736"/>
      <c r="N38" s="736"/>
      <c r="O38" s="736"/>
      <c r="P38" s="736"/>
      <c r="Q38" s="736"/>
      <c r="R38" s="647"/>
      <c r="S38" s="647"/>
      <c r="T38" s="647"/>
      <c r="U38" s="647"/>
      <c r="V38" s="647"/>
      <c r="W38" s="705"/>
      <c r="X38" s="705"/>
      <c r="Y38" s="705"/>
      <c r="Z38" s="705"/>
      <c r="AA38" s="705"/>
      <c r="AB38" s="705"/>
      <c r="AC38" s="705"/>
      <c r="AD38" s="705"/>
      <c r="AE38" s="705"/>
      <c r="AF38" s="705"/>
      <c r="AG38" s="705"/>
      <c r="AH38" s="705"/>
      <c r="AI38" s="705"/>
      <c r="AJ38" s="705"/>
      <c r="AK38" s="705"/>
      <c r="AL38" s="705"/>
      <c r="AM38" s="705"/>
      <c r="AN38" s="705"/>
      <c r="AO38" s="705"/>
    </row>
    <row r="39" spans="1:41" ht="15.75">
      <c r="A39" s="648"/>
      <c r="B39" s="647"/>
      <c r="E39" s="736"/>
      <c r="F39" s="736"/>
      <c r="G39" s="736"/>
      <c r="H39" s="736"/>
      <c r="I39" s="736"/>
      <c r="J39" s="736"/>
      <c r="K39" s="736"/>
      <c r="L39" s="647"/>
      <c r="M39" s="736"/>
      <c r="N39" s="736"/>
      <c r="O39" s="736"/>
      <c r="P39" s="736"/>
      <c r="Q39" s="736"/>
      <c r="R39" s="647"/>
      <c r="S39" s="647"/>
      <c r="T39" s="647"/>
      <c r="U39" s="647"/>
      <c r="V39" s="647"/>
      <c r="W39" s="705"/>
      <c r="X39" s="705"/>
      <c r="Y39" s="705"/>
      <c r="Z39" s="705"/>
      <c r="AA39" s="705"/>
      <c r="AB39" s="705"/>
      <c r="AC39" s="705"/>
      <c r="AD39" s="705"/>
      <c r="AE39" s="705"/>
      <c r="AF39" s="705"/>
      <c r="AG39" s="705"/>
      <c r="AH39" s="705"/>
      <c r="AI39" s="705"/>
      <c r="AJ39" s="705"/>
      <c r="AK39" s="705"/>
      <c r="AL39" s="705"/>
      <c r="AM39" s="705"/>
      <c r="AN39" s="705"/>
      <c r="AO39" s="705"/>
    </row>
    <row r="40" spans="1:41" ht="15.75">
      <c r="A40" s="648"/>
      <c r="B40" s="647"/>
      <c r="E40" s="736"/>
      <c r="F40" s="736"/>
      <c r="G40" s="736"/>
      <c r="H40" s="736"/>
      <c r="I40" s="736"/>
      <c r="J40" s="736"/>
      <c r="K40" s="736"/>
      <c r="L40" s="647"/>
      <c r="M40" s="736"/>
      <c r="N40" s="736"/>
      <c r="O40" s="736"/>
      <c r="P40" s="736"/>
      <c r="Q40" s="736"/>
      <c r="R40" s="647"/>
      <c r="S40" s="647"/>
      <c r="T40" s="647"/>
      <c r="U40" s="647"/>
      <c r="V40" s="647"/>
      <c r="W40" s="705"/>
      <c r="X40" s="705"/>
      <c r="Y40" s="705"/>
      <c r="Z40" s="705"/>
      <c r="AA40" s="705"/>
      <c r="AB40" s="705"/>
      <c r="AC40" s="705"/>
      <c r="AD40" s="705"/>
      <c r="AE40" s="705"/>
      <c r="AF40" s="705"/>
      <c r="AG40" s="705"/>
      <c r="AH40" s="705"/>
      <c r="AI40" s="705"/>
      <c r="AJ40" s="705"/>
      <c r="AK40" s="705"/>
      <c r="AL40" s="705"/>
      <c r="AM40" s="705"/>
      <c r="AN40" s="705"/>
      <c r="AO40" s="705"/>
    </row>
    <row r="41" spans="1:41" ht="15.75">
      <c r="A41" s="648"/>
      <c r="B41" s="647"/>
      <c r="E41" s="736"/>
      <c r="F41" s="736"/>
      <c r="G41" s="736"/>
      <c r="H41" s="736"/>
      <c r="I41" s="736"/>
      <c r="J41" s="736"/>
      <c r="K41" s="736"/>
      <c r="L41" s="647"/>
      <c r="M41" s="736"/>
      <c r="N41" s="736"/>
      <c r="O41" s="736"/>
      <c r="P41" s="736"/>
      <c r="Q41" s="736"/>
      <c r="R41" s="647"/>
      <c r="S41" s="647"/>
      <c r="T41" s="647"/>
      <c r="U41" s="647"/>
      <c r="V41" s="647"/>
      <c r="W41" s="705"/>
      <c r="X41" s="705"/>
      <c r="Y41" s="705"/>
      <c r="Z41" s="705"/>
      <c r="AA41" s="705"/>
      <c r="AB41" s="705"/>
      <c r="AC41" s="705"/>
      <c r="AD41" s="705"/>
      <c r="AE41" s="705"/>
      <c r="AF41" s="705"/>
      <c r="AG41" s="705"/>
      <c r="AH41" s="705"/>
      <c r="AI41" s="705"/>
      <c r="AJ41" s="705"/>
      <c r="AK41" s="705"/>
      <c r="AL41" s="705"/>
      <c r="AM41" s="705"/>
      <c r="AN41" s="705"/>
      <c r="AO41" s="705"/>
    </row>
    <row r="42" spans="1:41" ht="15.75">
      <c r="A42" s="648"/>
      <c r="B42" s="647"/>
      <c r="E42" s="736"/>
      <c r="F42" s="736"/>
      <c r="G42" s="736"/>
      <c r="H42" s="736"/>
      <c r="I42" s="736"/>
      <c r="J42" s="736"/>
      <c r="K42" s="736"/>
      <c r="L42" s="647"/>
      <c r="M42" s="736"/>
      <c r="N42" s="736"/>
      <c r="O42" s="736"/>
      <c r="P42" s="736"/>
      <c r="Q42" s="736"/>
      <c r="R42" s="647"/>
      <c r="S42" s="647"/>
      <c r="T42" s="647"/>
      <c r="U42" s="647"/>
      <c r="V42" s="647"/>
      <c r="W42" s="705"/>
      <c r="X42" s="705"/>
      <c r="Y42" s="705"/>
      <c r="Z42" s="705"/>
      <c r="AA42" s="705"/>
      <c r="AB42" s="705"/>
      <c r="AC42" s="705"/>
      <c r="AD42" s="705"/>
      <c r="AE42" s="705"/>
      <c r="AF42" s="705"/>
      <c r="AG42" s="705"/>
      <c r="AH42" s="705"/>
      <c r="AI42" s="705"/>
      <c r="AJ42" s="705"/>
      <c r="AK42" s="705"/>
      <c r="AL42" s="705"/>
      <c r="AM42" s="705"/>
      <c r="AN42" s="705"/>
      <c r="AO42" s="705"/>
    </row>
    <row r="43" spans="9:41" ht="15.75">
      <c r="I43" s="736"/>
      <c r="J43" s="736"/>
      <c r="K43" s="736"/>
      <c r="L43" s="647"/>
      <c r="M43" s="736"/>
      <c r="N43" s="736"/>
      <c r="O43" s="736"/>
      <c r="P43" s="736"/>
      <c r="Q43" s="736"/>
      <c r="R43" s="647"/>
      <c r="S43" s="647"/>
      <c r="T43" s="647"/>
      <c r="U43" s="647"/>
      <c r="V43" s="647"/>
      <c r="W43" s="705"/>
      <c r="X43" s="705"/>
      <c r="Y43" s="705"/>
      <c r="Z43" s="705"/>
      <c r="AA43" s="705"/>
      <c r="AB43" s="705"/>
      <c r="AC43" s="705"/>
      <c r="AD43" s="705"/>
      <c r="AE43" s="705"/>
      <c r="AF43" s="705"/>
      <c r="AG43" s="705"/>
      <c r="AH43" s="705"/>
      <c r="AI43" s="705"/>
      <c r="AJ43" s="705"/>
      <c r="AK43" s="705"/>
      <c r="AL43" s="705"/>
      <c r="AM43" s="705"/>
      <c r="AN43" s="705"/>
      <c r="AO43" s="705"/>
    </row>
    <row r="44" spans="1:41" ht="15.75">
      <c r="A44" s="648"/>
      <c r="B44" s="647"/>
      <c r="E44" s="736"/>
      <c r="F44" s="736"/>
      <c r="G44" s="736"/>
      <c r="H44" s="736"/>
      <c r="I44" s="736"/>
      <c r="J44" s="736"/>
      <c r="K44" s="736"/>
      <c r="L44" s="647"/>
      <c r="M44" s="736"/>
      <c r="N44" s="736"/>
      <c r="O44" s="736"/>
      <c r="P44" s="736"/>
      <c r="Q44" s="736"/>
      <c r="R44" s="647"/>
      <c r="S44" s="647"/>
      <c r="T44" s="647"/>
      <c r="U44" s="647"/>
      <c r="V44" s="647"/>
      <c r="W44" s="705"/>
      <c r="X44" s="705"/>
      <c r="Y44" s="705"/>
      <c r="Z44" s="705"/>
      <c r="AA44" s="705"/>
      <c r="AB44" s="705"/>
      <c r="AC44" s="705"/>
      <c r="AD44" s="705"/>
      <c r="AE44" s="705"/>
      <c r="AF44" s="705"/>
      <c r="AG44" s="705"/>
      <c r="AH44" s="705"/>
      <c r="AI44" s="705"/>
      <c r="AJ44" s="705"/>
      <c r="AK44" s="705"/>
      <c r="AL44" s="705"/>
      <c r="AM44" s="705"/>
      <c r="AN44" s="705"/>
      <c r="AO44" s="705"/>
    </row>
    <row r="45" spans="1:41" ht="15.75">
      <c r="A45" s="648"/>
      <c r="B45" s="647"/>
      <c r="E45" s="736"/>
      <c r="F45" s="736"/>
      <c r="G45" s="736"/>
      <c r="H45" s="736"/>
      <c r="I45" s="736"/>
      <c r="J45" s="736"/>
      <c r="K45" s="736"/>
      <c r="L45" s="647"/>
      <c r="M45" s="736"/>
      <c r="N45" s="736"/>
      <c r="O45" s="736"/>
      <c r="P45" s="736"/>
      <c r="Q45" s="736"/>
      <c r="R45" s="647"/>
      <c r="S45" s="647"/>
      <c r="T45" s="647"/>
      <c r="U45" s="647"/>
      <c r="V45" s="647"/>
      <c r="W45" s="705"/>
      <c r="X45" s="705"/>
      <c r="Y45" s="705"/>
      <c r="Z45" s="705"/>
      <c r="AA45" s="705"/>
      <c r="AB45" s="705"/>
      <c r="AC45" s="705"/>
      <c r="AD45" s="705"/>
      <c r="AE45" s="705"/>
      <c r="AF45" s="705"/>
      <c r="AG45" s="705"/>
      <c r="AH45" s="705"/>
      <c r="AI45" s="705"/>
      <c r="AJ45" s="705"/>
      <c r="AK45" s="705"/>
      <c r="AL45" s="705"/>
      <c r="AM45" s="705"/>
      <c r="AN45" s="705"/>
      <c r="AO45" s="705"/>
    </row>
    <row r="46" spans="1:41" ht="15.75">
      <c r="A46" s="648"/>
      <c r="B46" s="647"/>
      <c r="E46" s="736"/>
      <c r="F46" s="736"/>
      <c r="G46" s="736"/>
      <c r="H46" s="736"/>
      <c r="I46" s="736"/>
      <c r="J46" s="736"/>
      <c r="K46" s="736"/>
      <c r="L46" s="647"/>
      <c r="M46" s="736"/>
      <c r="N46" s="736"/>
      <c r="O46" s="736"/>
      <c r="P46" s="736"/>
      <c r="Q46" s="736"/>
      <c r="R46" s="647"/>
      <c r="S46" s="647"/>
      <c r="T46" s="647"/>
      <c r="U46" s="647"/>
      <c r="V46" s="647"/>
      <c r="W46" s="705"/>
      <c r="X46" s="705"/>
      <c r="Y46" s="705"/>
      <c r="Z46" s="705"/>
      <c r="AA46" s="705"/>
      <c r="AB46" s="705"/>
      <c r="AC46" s="705"/>
      <c r="AD46" s="705"/>
      <c r="AE46" s="705"/>
      <c r="AF46" s="705"/>
      <c r="AG46" s="705"/>
      <c r="AH46" s="705"/>
      <c r="AI46" s="705"/>
      <c r="AJ46" s="705"/>
      <c r="AK46" s="705"/>
      <c r="AL46" s="705"/>
      <c r="AM46" s="705"/>
      <c r="AN46" s="705"/>
      <c r="AO46" s="705"/>
    </row>
    <row r="47" spans="1:41" ht="15.75">
      <c r="A47" s="648"/>
      <c r="B47" s="647"/>
      <c r="E47" s="736"/>
      <c r="F47" s="736"/>
      <c r="G47" s="736"/>
      <c r="H47" s="736"/>
      <c r="I47" s="736"/>
      <c r="J47" s="736"/>
      <c r="K47" s="736"/>
      <c r="L47" s="647"/>
      <c r="M47" s="736"/>
      <c r="N47" s="736"/>
      <c r="O47" s="736"/>
      <c r="P47" s="736"/>
      <c r="Q47" s="736"/>
      <c r="R47" s="647"/>
      <c r="S47" s="647"/>
      <c r="T47" s="647"/>
      <c r="U47" s="647"/>
      <c r="V47" s="647"/>
      <c r="W47" s="705"/>
      <c r="X47" s="705"/>
      <c r="Y47" s="705"/>
      <c r="Z47" s="705"/>
      <c r="AA47" s="705"/>
      <c r="AB47" s="705"/>
      <c r="AC47" s="705"/>
      <c r="AD47" s="705"/>
      <c r="AE47" s="705"/>
      <c r="AF47" s="705"/>
      <c r="AG47" s="705"/>
      <c r="AH47" s="705"/>
      <c r="AI47" s="705"/>
      <c r="AJ47" s="705"/>
      <c r="AK47" s="705"/>
      <c r="AL47" s="705"/>
      <c r="AM47" s="705"/>
      <c r="AN47" s="705"/>
      <c r="AO47" s="705"/>
    </row>
    <row r="48" spans="1:41" ht="15.75">
      <c r="A48" s="648"/>
      <c r="B48" s="647"/>
      <c r="E48" s="736"/>
      <c r="F48" s="736"/>
      <c r="G48" s="736"/>
      <c r="H48" s="736"/>
      <c r="I48" s="736"/>
      <c r="J48" s="736"/>
      <c r="K48" s="736"/>
      <c r="L48" s="647"/>
      <c r="M48" s="736"/>
      <c r="N48" s="736"/>
      <c r="O48" s="736"/>
      <c r="P48" s="736"/>
      <c r="Q48" s="736"/>
      <c r="R48" s="647"/>
      <c r="S48" s="647"/>
      <c r="T48" s="647"/>
      <c r="U48" s="647"/>
      <c r="V48" s="647"/>
      <c r="W48" s="705"/>
      <c r="X48" s="705"/>
      <c r="Y48" s="705"/>
      <c r="Z48" s="705"/>
      <c r="AA48" s="705"/>
      <c r="AB48" s="705"/>
      <c r="AC48" s="705"/>
      <c r="AD48" s="705"/>
      <c r="AE48" s="705"/>
      <c r="AF48" s="705"/>
      <c r="AG48" s="705"/>
      <c r="AH48" s="705"/>
      <c r="AI48" s="705"/>
      <c r="AJ48" s="705"/>
      <c r="AK48" s="705"/>
      <c r="AL48" s="705"/>
      <c r="AM48" s="705"/>
      <c r="AN48" s="705"/>
      <c r="AO48" s="705"/>
    </row>
    <row r="49" spans="1:41" ht="15.75">
      <c r="A49" s="648"/>
      <c r="B49" s="647"/>
      <c r="E49" s="736"/>
      <c r="F49" s="736"/>
      <c r="G49" s="736"/>
      <c r="H49" s="736"/>
      <c r="I49" s="736"/>
      <c r="J49" s="736"/>
      <c r="K49" s="736"/>
      <c r="L49" s="647"/>
      <c r="M49" s="736"/>
      <c r="N49" s="736"/>
      <c r="O49" s="736"/>
      <c r="P49" s="736"/>
      <c r="Q49" s="736"/>
      <c r="R49" s="647"/>
      <c r="S49" s="647"/>
      <c r="T49" s="647"/>
      <c r="U49" s="647"/>
      <c r="V49" s="647"/>
      <c r="W49" s="705"/>
      <c r="X49" s="705"/>
      <c r="Y49" s="705"/>
      <c r="Z49" s="705"/>
      <c r="AA49" s="705"/>
      <c r="AB49" s="705"/>
      <c r="AC49" s="705"/>
      <c r="AD49" s="705"/>
      <c r="AE49" s="705"/>
      <c r="AF49" s="705"/>
      <c r="AG49" s="705"/>
      <c r="AH49" s="705"/>
      <c r="AI49" s="705"/>
      <c r="AJ49" s="705"/>
      <c r="AK49" s="705"/>
      <c r="AL49" s="705"/>
      <c r="AM49" s="705"/>
      <c r="AN49" s="705"/>
      <c r="AO49" s="705"/>
    </row>
    <row r="50" spans="1:41" ht="15.75">
      <c r="A50" s="648"/>
      <c r="B50" s="647"/>
      <c r="E50" s="736"/>
      <c r="F50" s="736"/>
      <c r="G50" s="736"/>
      <c r="H50" s="736"/>
      <c r="I50" s="736"/>
      <c r="J50" s="736"/>
      <c r="K50" s="736"/>
      <c r="L50" s="647"/>
      <c r="M50" s="736"/>
      <c r="N50" s="736"/>
      <c r="O50" s="736"/>
      <c r="P50" s="736"/>
      <c r="Q50" s="736"/>
      <c r="R50" s="647"/>
      <c r="S50" s="647"/>
      <c r="T50" s="647"/>
      <c r="U50" s="647"/>
      <c r="V50" s="647"/>
      <c r="W50" s="705"/>
      <c r="X50" s="705"/>
      <c r="Y50" s="705"/>
      <c r="Z50" s="705"/>
      <c r="AA50" s="705"/>
      <c r="AB50" s="705"/>
      <c r="AC50" s="705"/>
      <c r="AD50" s="705"/>
      <c r="AE50" s="705"/>
      <c r="AF50" s="705"/>
      <c r="AG50" s="705"/>
      <c r="AH50" s="705"/>
      <c r="AI50" s="705"/>
      <c r="AJ50" s="705"/>
      <c r="AK50" s="705"/>
      <c r="AL50" s="705"/>
      <c r="AM50" s="705"/>
      <c r="AN50" s="705"/>
      <c r="AO50" s="705"/>
    </row>
    <row r="51" spans="1:41" ht="15.75">
      <c r="A51" s="648"/>
      <c r="B51" s="647"/>
      <c r="E51" s="736"/>
      <c r="F51" s="736"/>
      <c r="G51" s="736"/>
      <c r="H51" s="736"/>
      <c r="I51" s="736"/>
      <c r="J51" s="736"/>
      <c r="K51" s="736"/>
      <c r="L51" s="647"/>
      <c r="M51" s="736"/>
      <c r="N51" s="736"/>
      <c r="O51" s="736"/>
      <c r="P51" s="736"/>
      <c r="Q51" s="736"/>
      <c r="R51" s="647"/>
      <c r="S51" s="647"/>
      <c r="T51" s="647"/>
      <c r="U51" s="647"/>
      <c r="V51" s="647"/>
      <c r="W51" s="705"/>
      <c r="X51" s="705"/>
      <c r="Y51" s="705"/>
      <c r="Z51" s="705"/>
      <c r="AA51" s="705"/>
      <c r="AB51" s="705"/>
      <c r="AC51" s="705"/>
      <c r="AD51" s="705"/>
      <c r="AE51" s="705"/>
      <c r="AF51" s="705"/>
      <c r="AG51" s="705"/>
      <c r="AH51" s="705"/>
      <c r="AI51" s="705"/>
      <c r="AJ51" s="705"/>
      <c r="AK51" s="705"/>
      <c r="AL51" s="705"/>
      <c r="AM51" s="705"/>
      <c r="AN51" s="705"/>
      <c r="AO51" s="705"/>
    </row>
    <row r="52" spans="1:41" ht="15.75">
      <c r="A52" s="648"/>
      <c r="B52" s="647"/>
      <c r="E52" s="736"/>
      <c r="F52" s="736"/>
      <c r="G52" s="736"/>
      <c r="H52" s="736"/>
      <c r="I52" s="736"/>
      <c r="J52" s="736"/>
      <c r="K52" s="736"/>
      <c r="L52" s="647"/>
      <c r="M52" s="736"/>
      <c r="N52" s="736"/>
      <c r="O52" s="736"/>
      <c r="P52" s="736"/>
      <c r="Q52" s="736"/>
      <c r="R52" s="647"/>
      <c r="S52" s="647"/>
      <c r="T52" s="647"/>
      <c r="U52" s="647"/>
      <c r="V52" s="647"/>
      <c r="W52" s="705"/>
      <c r="X52" s="705"/>
      <c r="Y52" s="705"/>
      <c r="Z52" s="705"/>
      <c r="AA52" s="705"/>
      <c r="AB52" s="705"/>
      <c r="AC52" s="705"/>
      <c r="AD52" s="705"/>
      <c r="AE52" s="705"/>
      <c r="AF52" s="705"/>
      <c r="AG52" s="705"/>
      <c r="AH52" s="705"/>
      <c r="AI52" s="705"/>
      <c r="AJ52" s="705"/>
      <c r="AK52" s="705"/>
      <c r="AL52" s="705"/>
      <c r="AM52" s="705"/>
      <c r="AN52" s="705"/>
      <c r="AO52" s="705"/>
    </row>
    <row r="53" spans="1:41" ht="15.75">
      <c r="A53" s="648"/>
      <c r="B53" s="647"/>
      <c r="E53" s="736"/>
      <c r="F53" s="736"/>
      <c r="G53" s="736"/>
      <c r="H53" s="736"/>
      <c r="I53" s="736"/>
      <c r="J53" s="736"/>
      <c r="K53" s="736"/>
      <c r="L53" s="647"/>
      <c r="M53" s="736"/>
      <c r="N53" s="736"/>
      <c r="O53" s="736"/>
      <c r="P53" s="736"/>
      <c r="Q53" s="736"/>
      <c r="R53" s="647"/>
      <c r="S53" s="647"/>
      <c r="T53" s="647"/>
      <c r="U53" s="647"/>
      <c r="V53" s="647"/>
      <c r="W53" s="705"/>
      <c r="X53" s="705"/>
      <c r="Y53" s="705"/>
      <c r="Z53" s="705"/>
      <c r="AA53" s="705"/>
      <c r="AB53" s="705"/>
      <c r="AC53" s="705"/>
      <c r="AD53" s="705"/>
      <c r="AE53" s="705"/>
      <c r="AF53" s="705"/>
      <c r="AG53" s="705"/>
      <c r="AH53" s="705"/>
      <c r="AI53" s="705"/>
      <c r="AJ53" s="705"/>
      <c r="AK53" s="705"/>
      <c r="AL53" s="705"/>
      <c r="AM53" s="705"/>
      <c r="AN53" s="705"/>
      <c r="AO53" s="705"/>
    </row>
    <row r="54" spans="1:41" ht="15.75">
      <c r="A54" s="648"/>
      <c r="B54" s="647"/>
      <c r="E54" s="736"/>
      <c r="F54" s="736"/>
      <c r="G54" s="736"/>
      <c r="H54" s="736"/>
      <c r="I54" s="736"/>
      <c r="J54" s="736"/>
      <c r="K54" s="736"/>
      <c r="L54" s="647"/>
      <c r="M54" s="736"/>
      <c r="N54" s="736"/>
      <c r="O54" s="736"/>
      <c r="P54" s="736"/>
      <c r="Q54" s="736"/>
      <c r="R54" s="647"/>
      <c r="S54" s="647"/>
      <c r="T54" s="647"/>
      <c r="U54" s="647"/>
      <c r="V54" s="647"/>
      <c r="W54" s="705"/>
      <c r="X54" s="705"/>
      <c r="Y54" s="705"/>
      <c r="Z54" s="705"/>
      <c r="AA54" s="705"/>
      <c r="AB54" s="705"/>
      <c r="AC54" s="705"/>
      <c r="AD54" s="705"/>
      <c r="AE54" s="705"/>
      <c r="AF54" s="705"/>
      <c r="AG54" s="705"/>
      <c r="AH54" s="705"/>
      <c r="AI54" s="705"/>
      <c r="AJ54" s="705"/>
      <c r="AK54" s="705"/>
      <c r="AL54" s="705"/>
      <c r="AM54" s="705"/>
      <c r="AN54" s="705"/>
      <c r="AO54" s="705"/>
    </row>
    <row r="55" spans="1:41" ht="15.75">
      <c r="A55" s="648"/>
      <c r="B55" s="647"/>
      <c r="E55" s="736"/>
      <c r="F55" s="736"/>
      <c r="G55" s="736"/>
      <c r="H55" s="736"/>
      <c r="I55" s="736"/>
      <c r="J55" s="736"/>
      <c r="K55" s="736"/>
      <c r="L55" s="647"/>
      <c r="M55" s="736"/>
      <c r="N55" s="736"/>
      <c r="O55" s="736"/>
      <c r="P55" s="736"/>
      <c r="Q55" s="736"/>
      <c r="R55" s="647"/>
      <c r="S55" s="647"/>
      <c r="T55" s="647"/>
      <c r="U55" s="647"/>
      <c r="V55" s="647"/>
      <c r="W55" s="705"/>
      <c r="X55" s="705"/>
      <c r="Y55" s="705"/>
      <c r="Z55" s="705"/>
      <c r="AA55" s="705"/>
      <c r="AB55" s="705"/>
      <c r="AC55" s="705"/>
      <c r="AD55" s="705"/>
      <c r="AE55" s="705"/>
      <c r="AF55" s="705"/>
      <c r="AG55" s="705"/>
      <c r="AH55" s="705"/>
      <c r="AI55" s="705"/>
      <c r="AJ55" s="705"/>
      <c r="AK55" s="705"/>
      <c r="AL55" s="705"/>
      <c r="AM55" s="705"/>
      <c r="AN55" s="705"/>
      <c r="AO55" s="705"/>
    </row>
    <row r="56" spans="1:41" ht="15.75">
      <c r="A56" s="648"/>
      <c r="B56" s="647"/>
      <c r="E56" s="736"/>
      <c r="F56" s="736"/>
      <c r="G56" s="736"/>
      <c r="H56" s="736"/>
      <c r="I56" s="736"/>
      <c r="J56" s="736"/>
      <c r="K56" s="736"/>
      <c r="L56" s="647"/>
      <c r="M56" s="736"/>
      <c r="N56" s="736"/>
      <c r="O56" s="736"/>
      <c r="P56" s="736"/>
      <c r="Q56" s="736"/>
      <c r="R56" s="647"/>
      <c r="S56" s="647"/>
      <c r="T56" s="647"/>
      <c r="U56" s="647"/>
      <c r="V56" s="647"/>
      <c r="W56" s="705"/>
      <c r="X56" s="705"/>
      <c r="Y56" s="705"/>
      <c r="Z56" s="705"/>
      <c r="AA56" s="705"/>
      <c r="AB56" s="705"/>
      <c r="AC56" s="705"/>
      <c r="AD56" s="705"/>
      <c r="AE56" s="705"/>
      <c r="AF56" s="705"/>
      <c r="AG56" s="705"/>
      <c r="AH56" s="705"/>
      <c r="AI56" s="705"/>
      <c r="AJ56" s="705"/>
      <c r="AK56" s="705"/>
      <c r="AL56" s="705"/>
      <c r="AM56" s="705"/>
      <c r="AN56" s="705"/>
      <c r="AO56" s="705"/>
    </row>
    <row r="57" spans="1:41" ht="15.75">
      <c r="A57" s="648"/>
      <c r="B57" s="647"/>
      <c r="E57" s="736"/>
      <c r="F57" s="736"/>
      <c r="G57" s="736"/>
      <c r="H57" s="736"/>
      <c r="I57" s="736"/>
      <c r="J57" s="736"/>
      <c r="K57" s="736"/>
      <c r="L57" s="647"/>
      <c r="M57" s="736"/>
      <c r="N57" s="736"/>
      <c r="O57" s="736"/>
      <c r="P57" s="736"/>
      <c r="Q57" s="736"/>
      <c r="R57" s="647"/>
      <c r="S57" s="647"/>
      <c r="T57" s="647"/>
      <c r="U57" s="647"/>
      <c r="V57" s="647"/>
      <c r="W57" s="705"/>
      <c r="X57" s="705"/>
      <c r="Y57" s="705"/>
      <c r="Z57" s="705"/>
      <c r="AA57" s="705"/>
      <c r="AB57" s="705"/>
      <c r="AC57" s="705"/>
      <c r="AD57" s="705"/>
      <c r="AE57" s="705"/>
      <c r="AF57" s="705"/>
      <c r="AG57" s="705"/>
      <c r="AH57" s="705"/>
      <c r="AI57" s="705"/>
      <c r="AJ57" s="705"/>
      <c r="AK57" s="705"/>
      <c r="AL57" s="705"/>
      <c r="AM57" s="705"/>
      <c r="AN57" s="705"/>
      <c r="AO57" s="705"/>
    </row>
    <row r="58" spans="1:41" ht="15.75">
      <c r="A58" s="648"/>
      <c r="B58" s="647"/>
      <c r="E58" s="736"/>
      <c r="F58" s="736"/>
      <c r="G58" s="736"/>
      <c r="H58" s="736"/>
      <c r="I58" s="736"/>
      <c r="J58" s="736"/>
      <c r="K58" s="736"/>
      <c r="L58" s="647"/>
      <c r="M58" s="736"/>
      <c r="N58" s="736"/>
      <c r="O58" s="736"/>
      <c r="P58" s="736"/>
      <c r="Q58" s="736"/>
      <c r="R58" s="647"/>
      <c r="S58" s="647"/>
      <c r="T58" s="647"/>
      <c r="U58" s="647"/>
      <c r="V58" s="647"/>
      <c r="W58" s="705"/>
      <c r="X58" s="705"/>
      <c r="Y58" s="705"/>
      <c r="Z58" s="705"/>
      <c r="AA58" s="705"/>
      <c r="AB58" s="705"/>
      <c r="AC58" s="705"/>
      <c r="AD58" s="705"/>
      <c r="AE58" s="705"/>
      <c r="AF58" s="705"/>
      <c r="AG58" s="705"/>
      <c r="AH58" s="705"/>
      <c r="AI58" s="705"/>
      <c r="AJ58" s="705"/>
      <c r="AK58" s="705"/>
      <c r="AL58" s="705"/>
      <c r="AM58" s="705"/>
      <c r="AN58" s="705"/>
      <c r="AO58" s="705"/>
    </row>
    <row r="59" spans="1:41" ht="15.75">
      <c r="A59" s="648"/>
      <c r="B59" s="647"/>
      <c r="E59" s="736"/>
      <c r="F59" s="736"/>
      <c r="G59" s="736"/>
      <c r="H59" s="736"/>
      <c r="I59" s="736"/>
      <c r="J59" s="736"/>
      <c r="K59" s="736"/>
      <c r="L59" s="647"/>
      <c r="M59" s="736"/>
      <c r="N59" s="736"/>
      <c r="O59" s="736"/>
      <c r="P59" s="736"/>
      <c r="Q59" s="736"/>
      <c r="R59" s="647"/>
      <c r="S59" s="647"/>
      <c r="T59" s="647"/>
      <c r="U59" s="647"/>
      <c r="V59" s="647"/>
      <c r="W59" s="705"/>
      <c r="X59" s="705"/>
      <c r="Y59" s="705"/>
      <c r="Z59" s="705"/>
      <c r="AA59" s="705"/>
      <c r="AB59" s="705"/>
      <c r="AC59" s="705"/>
      <c r="AD59" s="705"/>
      <c r="AE59" s="705"/>
      <c r="AF59" s="705"/>
      <c r="AG59" s="705"/>
      <c r="AH59" s="705"/>
      <c r="AI59" s="705"/>
      <c r="AJ59" s="705"/>
      <c r="AK59" s="705"/>
      <c r="AL59" s="705"/>
      <c r="AM59" s="705"/>
      <c r="AN59" s="705"/>
      <c r="AO59" s="705"/>
    </row>
    <row r="60" spans="1:41" ht="15.75">
      <c r="A60" s="648"/>
      <c r="B60" s="647"/>
      <c r="E60" s="736"/>
      <c r="F60" s="736"/>
      <c r="G60" s="736"/>
      <c r="H60" s="736"/>
      <c r="I60" s="736"/>
      <c r="J60" s="736"/>
      <c r="K60" s="736"/>
      <c r="L60" s="647"/>
      <c r="M60" s="736"/>
      <c r="N60" s="736"/>
      <c r="O60" s="736"/>
      <c r="P60" s="736"/>
      <c r="Q60" s="736"/>
      <c r="R60" s="647"/>
      <c r="S60" s="647"/>
      <c r="T60" s="647"/>
      <c r="U60" s="647"/>
      <c r="V60" s="647"/>
      <c r="W60" s="705"/>
      <c r="X60" s="705"/>
      <c r="Y60" s="705"/>
      <c r="Z60" s="705"/>
      <c r="AA60" s="705"/>
      <c r="AB60" s="705"/>
      <c r="AC60" s="705"/>
      <c r="AD60" s="705"/>
      <c r="AE60" s="705"/>
      <c r="AF60" s="705"/>
      <c r="AG60" s="705"/>
      <c r="AH60" s="705"/>
      <c r="AI60" s="705"/>
      <c r="AJ60" s="705"/>
      <c r="AK60" s="705"/>
      <c r="AL60" s="705"/>
      <c r="AM60" s="705"/>
      <c r="AN60" s="705"/>
      <c r="AO60" s="705"/>
    </row>
    <row r="61" spans="1:41" ht="15.75">
      <c r="A61" s="648"/>
      <c r="B61" s="647"/>
      <c r="E61" s="736"/>
      <c r="F61" s="736"/>
      <c r="G61" s="736"/>
      <c r="H61" s="736"/>
      <c r="I61" s="736"/>
      <c r="J61" s="736"/>
      <c r="K61" s="736"/>
      <c r="L61" s="647"/>
      <c r="M61" s="736"/>
      <c r="N61" s="736"/>
      <c r="O61" s="736"/>
      <c r="P61" s="736"/>
      <c r="Q61" s="736"/>
      <c r="R61" s="647"/>
      <c r="S61" s="647"/>
      <c r="T61" s="647"/>
      <c r="U61" s="647"/>
      <c r="V61" s="647"/>
      <c r="W61" s="705"/>
      <c r="X61" s="705"/>
      <c r="Y61" s="705"/>
      <c r="Z61" s="705"/>
      <c r="AA61" s="705"/>
      <c r="AB61" s="705"/>
      <c r="AC61" s="705"/>
      <c r="AD61" s="705"/>
      <c r="AE61" s="705"/>
      <c r="AF61" s="705"/>
      <c r="AG61" s="705"/>
      <c r="AH61" s="705"/>
      <c r="AI61" s="705"/>
      <c r="AJ61" s="705"/>
      <c r="AK61" s="705"/>
      <c r="AL61" s="705"/>
      <c r="AM61" s="705"/>
      <c r="AN61" s="705"/>
      <c r="AO61" s="705"/>
    </row>
    <row r="62" spans="1:41" ht="15.75">
      <c r="A62" s="648"/>
      <c r="B62" s="647"/>
      <c r="E62" s="736"/>
      <c r="F62" s="736"/>
      <c r="G62" s="736"/>
      <c r="H62" s="736"/>
      <c r="I62" s="736"/>
      <c r="J62" s="736"/>
      <c r="K62" s="736"/>
      <c r="L62" s="647"/>
      <c r="M62" s="736"/>
      <c r="N62" s="736"/>
      <c r="O62" s="736"/>
      <c r="P62" s="736"/>
      <c r="Q62" s="736"/>
      <c r="R62" s="647"/>
      <c r="S62" s="647"/>
      <c r="T62" s="647"/>
      <c r="U62" s="647"/>
      <c r="V62" s="647"/>
      <c r="W62" s="705"/>
      <c r="X62" s="705"/>
      <c r="Y62" s="705"/>
      <c r="Z62" s="705"/>
      <c r="AA62" s="705"/>
      <c r="AB62" s="705"/>
      <c r="AC62" s="705"/>
      <c r="AD62" s="705"/>
      <c r="AE62" s="705"/>
      <c r="AF62" s="705"/>
      <c r="AG62" s="705"/>
      <c r="AH62" s="705"/>
      <c r="AI62" s="705"/>
      <c r="AJ62" s="705"/>
      <c r="AK62" s="705"/>
      <c r="AL62" s="705"/>
      <c r="AM62" s="705"/>
      <c r="AN62" s="705"/>
      <c r="AO62" s="705"/>
    </row>
    <row r="63" spans="1:41" ht="15.75">
      <c r="A63" s="648"/>
      <c r="B63" s="647"/>
      <c r="E63" s="736"/>
      <c r="F63" s="736"/>
      <c r="G63" s="736"/>
      <c r="H63" s="736"/>
      <c r="I63" s="736"/>
      <c r="J63" s="736"/>
      <c r="K63" s="736"/>
      <c r="L63" s="647"/>
      <c r="M63" s="736"/>
      <c r="N63" s="736"/>
      <c r="O63" s="736"/>
      <c r="P63" s="736"/>
      <c r="Q63" s="736"/>
      <c r="R63" s="647"/>
      <c r="S63" s="647"/>
      <c r="T63" s="647"/>
      <c r="U63" s="647"/>
      <c r="V63" s="647"/>
      <c r="W63" s="705"/>
      <c r="X63" s="705"/>
      <c r="Y63" s="705"/>
      <c r="Z63" s="705"/>
      <c r="AA63" s="705"/>
      <c r="AB63" s="705"/>
      <c r="AC63" s="705"/>
      <c r="AD63" s="705"/>
      <c r="AE63" s="705"/>
      <c r="AF63" s="705"/>
      <c r="AG63" s="705"/>
      <c r="AH63" s="705"/>
      <c r="AI63" s="705"/>
      <c r="AJ63" s="705"/>
      <c r="AK63" s="705"/>
      <c r="AL63" s="705"/>
      <c r="AM63" s="705"/>
      <c r="AN63" s="705"/>
      <c r="AO63" s="705"/>
    </row>
    <row r="64" spans="1:41" ht="15.75">
      <c r="A64" s="648"/>
      <c r="B64" s="647"/>
      <c r="E64" s="736"/>
      <c r="F64" s="736"/>
      <c r="G64" s="736"/>
      <c r="H64" s="736"/>
      <c r="I64" s="736"/>
      <c r="J64" s="736"/>
      <c r="K64" s="736"/>
      <c r="L64" s="647"/>
      <c r="M64" s="736"/>
      <c r="N64" s="736"/>
      <c r="O64" s="736"/>
      <c r="P64" s="736"/>
      <c r="Q64" s="736"/>
      <c r="R64" s="647"/>
      <c r="S64" s="647"/>
      <c r="T64" s="647"/>
      <c r="U64" s="647"/>
      <c r="V64" s="647"/>
      <c r="W64" s="705"/>
      <c r="X64" s="705"/>
      <c r="Y64" s="705"/>
      <c r="Z64" s="705"/>
      <c r="AA64" s="705"/>
      <c r="AB64" s="705"/>
      <c r="AC64" s="705"/>
      <c r="AD64" s="705"/>
      <c r="AE64" s="705"/>
      <c r="AF64" s="705"/>
      <c r="AG64" s="705"/>
      <c r="AH64" s="705"/>
      <c r="AI64" s="705"/>
      <c r="AJ64" s="705"/>
      <c r="AK64" s="705"/>
      <c r="AL64" s="705"/>
      <c r="AM64" s="705"/>
      <c r="AN64" s="705"/>
      <c r="AO64" s="705"/>
    </row>
    <row r="65" spans="1:41" ht="15.75">
      <c r="A65" s="648"/>
      <c r="B65" s="647"/>
      <c r="E65" s="736"/>
      <c r="F65" s="736"/>
      <c r="G65" s="736"/>
      <c r="H65" s="736"/>
      <c r="I65" s="736"/>
      <c r="J65" s="736"/>
      <c r="K65" s="736"/>
      <c r="L65" s="647"/>
      <c r="M65" s="736"/>
      <c r="N65" s="736"/>
      <c r="O65" s="736"/>
      <c r="P65" s="736"/>
      <c r="Q65" s="736"/>
      <c r="R65" s="647"/>
      <c r="S65" s="647"/>
      <c r="T65" s="647"/>
      <c r="U65" s="647"/>
      <c r="V65" s="647"/>
      <c r="W65" s="705"/>
      <c r="X65" s="705"/>
      <c r="Y65" s="705"/>
      <c r="Z65" s="705"/>
      <c r="AA65" s="705"/>
      <c r="AB65" s="705"/>
      <c r="AC65" s="705"/>
      <c r="AD65" s="705"/>
      <c r="AE65" s="705"/>
      <c r="AF65" s="705"/>
      <c r="AG65" s="705"/>
      <c r="AH65" s="705"/>
      <c r="AI65" s="705"/>
      <c r="AJ65" s="705"/>
      <c r="AK65" s="705"/>
      <c r="AL65" s="705"/>
      <c r="AM65" s="705"/>
      <c r="AN65" s="705"/>
      <c r="AO65" s="705"/>
    </row>
    <row r="66" spans="1:41" ht="15.75">
      <c r="A66" s="648"/>
      <c r="B66" s="647"/>
      <c r="E66" s="736"/>
      <c r="F66" s="736"/>
      <c r="G66" s="736"/>
      <c r="H66" s="736"/>
      <c r="I66" s="736"/>
      <c r="J66" s="736"/>
      <c r="K66" s="736"/>
      <c r="L66" s="647"/>
      <c r="M66" s="736"/>
      <c r="N66" s="736"/>
      <c r="O66" s="736"/>
      <c r="P66" s="736"/>
      <c r="Q66" s="736"/>
      <c r="R66" s="647"/>
      <c r="S66" s="647"/>
      <c r="T66" s="647"/>
      <c r="U66" s="647"/>
      <c r="V66" s="647"/>
      <c r="W66" s="705"/>
      <c r="X66" s="705"/>
      <c r="Y66" s="705"/>
      <c r="Z66" s="705"/>
      <c r="AA66" s="705"/>
      <c r="AB66" s="705"/>
      <c r="AC66" s="705"/>
      <c r="AD66" s="705"/>
      <c r="AE66" s="705"/>
      <c r="AF66" s="705"/>
      <c r="AG66" s="705"/>
      <c r="AH66" s="705"/>
      <c r="AI66" s="705"/>
      <c r="AJ66" s="705"/>
      <c r="AK66" s="705"/>
      <c r="AL66" s="705"/>
      <c r="AM66" s="705"/>
      <c r="AN66" s="705"/>
      <c r="AO66" s="705"/>
    </row>
    <row r="67" spans="1:41" ht="15.75">
      <c r="A67" s="648"/>
      <c r="B67" s="647"/>
      <c r="E67" s="736"/>
      <c r="F67" s="736"/>
      <c r="G67" s="736"/>
      <c r="H67" s="736"/>
      <c r="I67" s="736"/>
      <c r="J67" s="736"/>
      <c r="K67" s="736"/>
      <c r="L67" s="647"/>
      <c r="M67" s="736"/>
      <c r="N67" s="736"/>
      <c r="O67" s="736"/>
      <c r="P67" s="736"/>
      <c r="Q67" s="736"/>
      <c r="R67" s="647"/>
      <c r="S67" s="647"/>
      <c r="T67" s="647"/>
      <c r="U67" s="647"/>
      <c r="V67" s="647"/>
      <c r="W67" s="705"/>
      <c r="X67" s="705"/>
      <c r="Y67" s="705"/>
      <c r="Z67" s="705"/>
      <c r="AA67" s="705"/>
      <c r="AB67" s="705"/>
      <c r="AC67" s="705"/>
      <c r="AD67" s="705"/>
      <c r="AE67" s="705"/>
      <c r="AF67" s="705"/>
      <c r="AG67" s="705"/>
      <c r="AH67" s="705"/>
      <c r="AI67" s="705"/>
      <c r="AJ67" s="705"/>
      <c r="AK67" s="705"/>
      <c r="AL67" s="705"/>
      <c r="AM67" s="705"/>
      <c r="AN67" s="705"/>
      <c r="AO67" s="705"/>
    </row>
    <row r="68" spans="1:41" ht="15.75">
      <c r="A68" s="648"/>
      <c r="B68" s="647"/>
      <c r="E68" s="736"/>
      <c r="F68" s="736"/>
      <c r="G68" s="736"/>
      <c r="H68" s="736"/>
      <c r="I68" s="736"/>
      <c r="J68" s="736"/>
      <c r="K68" s="736"/>
      <c r="L68" s="647"/>
      <c r="M68" s="736"/>
      <c r="N68" s="736"/>
      <c r="O68" s="736"/>
      <c r="P68" s="736"/>
      <c r="Q68" s="736"/>
      <c r="R68" s="647"/>
      <c r="S68" s="647"/>
      <c r="T68" s="647"/>
      <c r="U68" s="647"/>
      <c r="V68" s="647"/>
      <c r="W68" s="705"/>
      <c r="X68" s="705"/>
      <c r="Y68" s="705"/>
      <c r="Z68" s="705"/>
      <c r="AA68" s="705"/>
      <c r="AB68" s="705"/>
      <c r="AC68" s="705"/>
      <c r="AD68" s="705"/>
      <c r="AE68" s="705"/>
      <c r="AF68" s="705"/>
      <c r="AG68" s="705"/>
      <c r="AH68" s="705"/>
      <c r="AI68" s="705"/>
      <c r="AJ68" s="705"/>
      <c r="AK68" s="705"/>
      <c r="AL68" s="705"/>
      <c r="AM68" s="705"/>
      <c r="AN68" s="705"/>
      <c r="AO68" s="705"/>
    </row>
    <row r="69" spans="1:41" ht="15.75">
      <c r="A69" s="648"/>
      <c r="B69" s="647"/>
      <c r="E69" s="736"/>
      <c r="F69" s="736"/>
      <c r="G69" s="736"/>
      <c r="H69" s="736"/>
      <c r="I69" s="736"/>
      <c r="J69" s="736"/>
      <c r="K69" s="736"/>
      <c r="L69" s="647"/>
      <c r="M69" s="736"/>
      <c r="N69" s="736"/>
      <c r="O69" s="736"/>
      <c r="P69" s="736"/>
      <c r="Q69" s="736"/>
      <c r="R69" s="647"/>
      <c r="S69" s="647"/>
      <c r="T69" s="647"/>
      <c r="U69" s="647"/>
      <c r="V69" s="647"/>
      <c r="W69" s="705"/>
      <c r="X69" s="705"/>
      <c r="Y69" s="705"/>
      <c r="Z69" s="705"/>
      <c r="AA69" s="705"/>
      <c r="AB69" s="705"/>
      <c r="AC69" s="705"/>
      <c r="AD69" s="705"/>
      <c r="AE69" s="705"/>
      <c r="AF69" s="705"/>
      <c r="AG69" s="705"/>
      <c r="AH69" s="705"/>
      <c r="AI69" s="705"/>
      <c r="AJ69" s="705"/>
      <c r="AK69" s="705"/>
      <c r="AL69" s="705"/>
      <c r="AM69" s="705"/>
      <c r="AN69" s="705"/>
      <c r="AO69" s="705"/>
    </row>
    <row r="70" spans="1:41" ht="15.75">
      <c r="A70" s="648"/>
      <c r="B70" s="647"/>
      <c r="E70" s="736"/>
      <c r="F70" s="736"/>
      <c r="G70" s="736"/>
      <c r="H70" s="736"/>
      <c r="I70" s="736"/>
      <c r="J70" s="736"/>
      <c r="K70" s="736"/>
      <c r="L70" s="647"/>
      <c r="M70" s="736"/>
      <c r="N70" s="736"/>
      <c r="O70" s="736"/>
      <c r="P70" s="736"/>
      <c r="Q70" s="736"/>
      <c r="R70" s="647"/>
      <c r="S70" s="647"/>
      <c r="T70" s="647"/>
      <c r="U70" s="647"/>
      <c r="V70" s="647"/>
      <c r="W70" s="705"/>
      <c r="X70" s="705"/>
      <c r="Y70" s="705"/>
      <c r="Z70" s="705"/>
      <c r="AA70" s="705"/>
      <c r="AB70" s="705"/>
      <c r="AC70" s="705"/>
      <c r="AD70" s="705"/>
      <c r="AE70" s="705"/>
      <c r="AF70" s="705"/>
      <c r="AG70" s="705"/>
      <c r="AH70" s="705"/>
      <c r="AI70" s="705"/>
      <c r="AJ70" s="705"/>
      <c r="AK70" s="705"/>
      <c r="AL70" s="705"/>
      <c r="AM70" s="705"/>
      <c r="AN70" s="705"/>
      <c r="AO70" s="705"/>
    </row>
    <row r="71" spans="1:41" ht="15.75">
      <c r="A71" s="648"/>
      <c r="B71" s="647"/>
      <c r="E71" s="736"/>
      <c r="F71" s="736"/>
      <c r="G71" s="736"/>
      <c r="H71" s="736"/>
      <c r="I71" s="736"/>
      <c r="J71" s="736"/>
      <c r="K71" s="736"/>
      <c r="L71" s="647"/>
      <c r="M71" s="736"/>
      <c r="N71" s="736"/>
      <c r="O71" s="736"/>
      <c r="P71" s="736"/>
      <c r="Q71" s="736"/>
      <c r="R71" s="647"/>
      <c r="S71" s="647"/>
      <c r="T71" s="647"/>
      <c r="U71" s="647"/>
      <c r="V71" s="647"/>
      <c r="W71" s="705"/>
      <c r="X71" s="705"/>
      <c r="Y71" s="705"/>
      <c r="Z71" s="705"/>
      <c r="AA71" s="705"/>
      <c r="AB71" s="705"/>
      <c r="AC71" s="705"/>
      <c r="AD71" s="705"/>
      <c r="AE71" s="705"/>
      <c r="AF71" s="705"/>
      <c r="AG71" s="705"/>
      <c r="AH71" s="705"/>
      <c r="AI71" s="705"/>
      <c r="AJ71" s="705"/>
      <c r="AK71" s="705"/>
      <c r="AL71" s="705"/>
      <c r="AM71" s="705"/>
      <c r="AN71" s="705"/>
      <c r="AO71" s="705"/>
    </row>
    <row r="72" spans="1:41" ht="15.75">
      <c r="A72" s="648"/>
      <c r="B72" s="647"/>
      <c r="E72" s="736"/>
      <c r="F72" s="736"/>
      <c r="G72" s="736"/>
      <c r="H72" s="736"/>
      <c r="I72" s="736"/>
      <c r="J72" s="736"/>
      <c r="K72" s="736"/>
      <c r="L72" s="647"/>
      <c r="M72" s="736"/>
      <c r="N72" s="736"/>
      <c r="O72" s="736"/>
      <c r="P72" s="736"/>
      <c r="Q72" s="736"/>
      <c r="R72" s="647"/>
      <c r="S72" s="647"/>
      <c r="T72" s="647"/>
      <c r="U72" s="647"/>
      <c r="V72" s="647"/>
      <c r="W72" s="705"/>
      <c r="X72" s="705"/>
      <c r="Y72" s="705"/>
      <c r="Z72" s="705"/>
      <c r="AA72" s="705"/>
      <c r="AB72" s="705"/>
      <c r="AC72" s="705"/>
      <c r="AD72" s="705"/>
      <c r="AE72" s="705"/>
      <c r="AF72" s="705"/>
      <c r="AG72" s="705"/>
      <c r="AH72" s="705"/>
      <c r="AI72" s="705"/>
      <c r="AJ72" s="705"/>
      <c r="AK72" s="705"/>
      <c r="AL72" s="705"/>
      <c r="AM72" s="705"/>
      <c r="AN72" s="705"/>
      <c r="AO72" s="705"/>
    </row>
    <row r="73" spans="1:41" ht="15.75">
      <c r="A73" s="648"/>
      <c r="B73" s="647"/>
      <c r="E73" s="736"/>
      <c r="F73" s="736"/>
      <c r="G73" s="736"/>
      <c r="H73" s="736"/>
      <c r="I73" s="736"/>
      <c r="J73" s="736"/>
      <c r="K73" s="736"/>
      <c r="L73" s="647"/>
      <c r="M73" s="736"/>
      <c r="N73" s="736"/>
      <c r="O73" s="736"/>
      <c r="P73" s="736"/>
      <c r="Q73" s="736"/>
      <c r="R73" s="647"/>
      <c r="S73" s="647"/>
      <c r="T73" s="647"/>
      <c r="U73" s="647"/>
      <c r="V73" s="647"/>
      <c r="W73" s="705"/>
      <c r="X73" s="705"/>
      <c r="Y73" s="705"/>
      <c r="Z73" s="705"/>
      <c r="AA73" s="705"/>
      <c r="AB73" s="705"/>
      <c r="AC73" s="705"/>
      <c r="AD73" s="705"/>
      <c r="AE73" s="705"/>
      <c r="AF73" s="705"/>
      <c r="AG73" s="705"/>
      <c r="AH73" s="705"/>
      <c r="AI73" s="705"/>
      <c r="AJ73" s="705"/>
      <c r="AK73" s="705"/>
      <c r="AL73" s="705"/>
      <c r="AM73" s="705"/>
      <c r="AN73" s="705"/>
      <c r="AO73" s="705"/>
    </row>
    <row r="74" spans="1:41" ht="15.75">
      <c r="A74" s="648"/>
      <c r="B74" s="647"/>
      <c r="E74" s="736"/>
      <c r="F74" s="736"/>
      <c r="G74" s="736"/>
      <c r="H74" s="736"/>
      <c r="I74" s="736"/>
      <c r="J74" s="736"/>
      <c r="K74" s="736"/>
      <c r="L74" s="647"/>
      <c r="M74" s="736"/>
      <c r="N74" s="736"/>
      <c r="O74" s="736"/>
      <c r="P74" s="736"/>
      <c r="Q74" s="736"/>
      <c r="R74" s="647"/>
      <c r="S74" s="647"/>
      <c r="T74" s="647"/>
      <c r="U74" s="647"/>
      <c r="V74" s="647"/>
      <c r="W74" s="705"/>
      <c r="X74" s="705"/>
      <c r="Y74" s="705"/>
      <c r="Z74" s="705"/>
      <c r="AA74" s="705"/>
      <c r="AB74" s="705"/>
      <c r="AC74" s="705"/>
      <c r="AD74" s="705"/>
      <c r="AE74" s="705"/>
      <c r="AF74" s="705"/>
      <c r="AG74" s="705"/>
      <c r="AH74" s="705"/>
      <c r="AI74" s="705"/>
      <c r="AJ74" s="705"/>
      <c r="AK74" s="705"/>
      <c r="AL74" s="705"/>
      <c r="AM74" s="705"/>
      <c r="AN74" s="705"/>
      <c r="AO74" s="705"/>
    </row>
    <row r="75" spans="1:41" ht="15.75">
      <c r="A75" s="648"/>
      <c r="B75" s="647"/>
      <c r="E75" s="736"/>
      <c r="F75" s="736"/>
      <c r="G75" s="736"/>
      <c r="H75" s="736"/>
      <c r="I75" s="736"/>
      <c r="J75" s="736"/>
      <c r="K75" s="736"/>
      <c r="L75" s="647"/>
      <c r="M75" s="736"/>
      <c r="N75" s="736"/>
      <c r="O75" s="736"/>
      <c r="P75" s="736"/>
      <c r="Q75" s="736"/>
      <c r="R75" s="647"/>
      <c r="S75" s="647"/>
      <c r="T75" s="647"/>
      <c r="U75" s="647"/>
      <c r="V75" s="647"/>
      <c r="W75" s="705"/>
      <c r="X75" s="705"/>
      <c r="Y75" s="705"/>
      <c r="Z75" s="705"/>
      <c r="AA75" s="705"/>
      <c r="AB75" s="705"/>
      <c r="AC75" s="705"/>
      <c r="AD75" s="705"/>
      <c r="AE75" s="705"/>
      <c r="AF75" s="705"/>
      <c r="AG75" s="705"/>
      <c r="AH75" s="705"/>
      <c r="AI75" s="705"/>
      <c r="AJ75" s="705"/>
      <c r="AK75" s="705"/>
      <c r="AL75" s="705"/>
      <c r="AM75" s="705"/>
      <c r="AN75" s="705"/>
      <c r="AO75" s="705"/>
    </row>
    <row r="76" spans="1:41" ht="15.75">
      <c r="A76" s="648"/>
      <c r="B76" s="647"/>
      <c r="E76" s="736"/>
      <c r="F76" s="736"/>
      <c r="G76" s="736"/>
      <c r="H76" s="736"/>
      <c r="I76" s="736"/>
      <c r="J76" s="736"/>
      <c r="K76" s="736"/>
      <c r="L76" s="647"/>
      <c r="M76" s="736"/>
      <c r="N76" s="736"/>
      <c r="O76" s="736"/>
      <c r="P76" s="736"/>
      <c r="Q76" s="736"/>
      <c r="R76" s="647"/>
      <c r="S76" s="647"/>
      <c r="T76" s="647"/>
      <c r="U76" s="647"/>
      <c r="V76" s="647"/>
      <c r="W76" s="705"/>
      <c r="X76" s="705"/>
      <c r="Y76" s="705"/>
      <c r="Z76" s="705"/>
      <c r="AA76" s="705"/>
      <c r="AB76" s="705"/>
      <c r="AC76" s="705"/>
      <c r="AD76" s="705"/>
      <c r="AE76" s="705"/>
      <c r="AF76" s="705"/>
      <c r="AG76" s="705"/>
      <c r="AH76" s="705"/>
      <c r="AI76" s="705"/>
      <c r="AJ76" s="705"/>
      <c r="AK76" s="705"/>
      <c r="AL76" s="705"/>
      <c r="AM76" s="705"/>
      <c r="AN76" s="705"/>
      <c r="AO76" s="705"/>
    </row>
    <row r="77" spans="1:41" ht="15.75">
      <c r="A77" s="648"/>
      <c r="B77" s="647"/>
      <c r="E77" s="736"/>
      <c r="F77" s="736"/>
      <c r="G77" s="736"/>
      <c r="H77" s="736"/>
      <c r="I77" s="736"/>
      <c r="J77" s="736"/>
      <c r="K77" s="736"/>
      <c r="L77" s="647"/>
      <c r="M77" s="736"/>
      <c r="N77" s="736"/>
      <c r="O77" s="736"/>
      <c r="P77" s="736"/>
      <c r="Q77" s="736"/>
      <c r="R77" s="647"/>
      <c r="S77" s="647"/>
      <c r="T77" s="647"/>
      <c r="U77" s="647"/>
      <c r="V77" s="647"/>
      <c r="W77" s="705"/>
      <c r="X77" s="705"/>
      <c r="Y77" s="705"/>
      <c r="Z77" s="705"/>
      <c r="AA77" s="705"/>
      <c r="AB77" s="705"/>
      <c r="AC77" s="705"/>
      <c r="AD77" s="705"/>
      <c r="AE77" s="705"/>
      <c r="AF77" s="705"/>
      <c r="AG77" s="705"/>
      <c r="AH77" s="705"/>
      <c r="AI77" s="705"/>
      <c r="AJ77" s="705"/>
      <c r="AK77" s="705"/>
      <c r="AL77" s="705"/>
      <c r="AM77" s="705"/>
      <c r="AN77" s="705"/>
      <c r="AO77" s="705"/>
    </row>
    <row r="78" spans="1:41" ht="15.75">
      <c r="A78" s="648"/>
      <c r="B78" s="647"/>
      <c r="E78" s="736"/>
      <c r="F78" s="736"/>
      <c r="G78" s="736"/>
      <c r="H78" s="736"/>
      <c r="I78" s="736"/>
      <c r="J78" s="736"/>
      <c r="K78" s="736"/>
      <c r="L78" s="647"/>
      <c r="M78" s="736"/>
      <c r="N78" s="736"/>
      <c r="O78" s="736"/>
      <c r="P78" s="736"/>
      <c r="Q78" s="736"/>
      <c r="R78" s="647"/>
      <c r="S78" s="647"/>
      <c r="T78" s="647"/>
      <c r="U78" s="647"/>
      <c r="V78" s="647"/>
      <c r="W78" s="705"/>
      <c r="X78" s="705"/>
      <c r="Y78" s="705"/>
      <c r="Z78" s="705"/>
      <c r="AA78" s="705"/>
      <c r="AB78" s="705"/>
      <c r="AC78" s="705"/>
      <c r="AD78" s="705"/>
      <c r="AE78" s="705"/>
      <c r="AF78" s="705"/>
      <c r="AG78" s="705"/>
      <c r="AH78" s="705"/>
      <c r="AI78" s="705"/>
      <c r="AJ78" s="705"/>
      <c r="AK78" s="705"/>
      <c r="AL78" s="705"/>
      <c r="AM78" s="705"/>
      <c r="AN78" s="705"/>
      <c r="AO78" s="705"/>
    </row>
    <row r="79" spans="1:41" ht="15.75">
      <c r="A79" s="648"/>
      <c r="B79" s="647"/>
      <c r="E79" s="736"/>
      <c r="F79" s="736"/>
      <c r="G79" s="736"/>
      <c r="H79" s="736"/>
      <c r="I79" s="736"/>
      <c r="J79" s="736"/>
      <c r="K79" s="736"/>
      <c r="L79" s="647"/>
      <c r="M79" s="736"/>
      <c r="N79" s="736"/>
      <c r="O79" s="736"/>
      <c r="P79" s="736"/>
      <c r="Q79" s="736"/>
      <c r="R79" s="647"/>
      <c r="S79" s="647"/>
      <c r="T79" s="647"/>
      <c r="U79" s="647"/>
      <c r="V79" s="647"/>
      <c r="W79" s="705"/>
      <c r="X79" s="705"/>
      <c r="Y79" s="705"/>
      <c r="Z79" s="705"/>
      <c r="AA79" s="705"/>
      <c r="AB79" s="705"/>
      <c r="AC79" s="705"/>
      <c r="AD79" s="705"/>
      <c r="AE79" s="705"/>
      <c r="AF79" s="705"/>
      <c r="AG79" s="705"/>
      <c r="AH79" s="705"/>
      <c r="AI79" s="705"/>
      <c r="AJ79" s="705"/>
      <c r="AK79" s="705"/>
      <c r="AL79" s="705"/>
      <c r="AM79" s="705"/>
      <c r="AN79" s="705"/>
      <c r="AO79" s="705"/>
    </row>
    <row r="80" spans="1:41" ht="15.75">
      <c r="A80" s="648"/>
      <c r="B80" s="647"/>
      <c r="E80" s="736"/>
      <c r="F80" s="736"/>
      <c r="G80" s="736"/>
      <c r="H80" s="736"/>
      <c r="I80" s="736"/>
      <c r="J80" s="736"/>
      <c r="K80" s="736"/>
      <c r="L80" s="647"/>
      <c r="M80" s="736"/>
      <c r="N80" s="736"/>
      <c r="O80" s="736"/>
      <c r="P80" s="736"/>
      <c r="Q80" s="736"/>
      <c r="R80" s="647"/>
      <c r="S80" s="647"/>
      <c r="T80" s="647"/>
      <c r="U80" s="647"/>
      <c r="V80" s="647"/>
      <c r="W80" s="705"/>
      <c r="X80" s="705"/>
      <c r="Y80" s="705"/>
      <c r="Z80" s="705"/>
      <c r="AA80" s="705"/>
      <c r="AB80" s="705"/>
      <c r="AC80" s="705"/>
      <c r="AD80" s="705"/>
      <c r="AE80" s="705"/>
      <c r="AF80" s="705"/>
      <c r="AG80" s="705"/>
      <c r="AH80" s="705"/>
      <c r="AI80" s="705"/>
      <c r="AJ80" s="705"/>
      <c r="AK80" s="705"/>
      <c r="AL80" s="705"/>
      <c r="AM80" s="705"/>
      <c r="AN80" s="705"/>
      <c r="AO80" s="705"/>
    </row>
    <row r="81" spans="1:41" ht="15.75">
      <c r="A81" s="648"/>
      <c r="B81" s="647"/>
      <c r="E81" s="736"/>
      <c r="F81" s="736"/>
      <c r="G81" s="736"/>
      <c r="H81" s="736"/>
      <c r="I81" s="736"/>
      <c r="J81" s="736"/>
      <c r="K81" s="736"/>
      <c r="L81" s="647"/>
      <c r="M81" s="736"/>
      <c r="N81" s="736"/>
      <c r="O81" s="736"/>
      <c r="P81" s="736"/>
      <c r="Q81" s="736"/>
      <c r="R81" s="647"/>
      <c r="S81" s="647"/>
      <c r="T81" s="647"/>
      <c r="U81" s="647"/>
      <c r="V81" s="647"/>
      <c r="W81" s="705"/>
      <c r="X81" s="705"/>
      <c r="Y81" s="705"/>
      <c r="Z81" s="705"/>
      <c r="AA81" s="705"/>
      <c r="AB81" s="705"/>
      <c r="AC81" s="705"/>
      <c r="AD81" s="705"/>
      <c r="AE81" s="705"/>
      <c r="AF81" s="705"/>
      <c r="AG81" s="705"/>
      <c r="AH81" s="705"/>
      <c r="AI81" s="705"/>
      <c r="AJ81" s="705"/>
      <c r="AK81" s="705"/>
      <c r="AL81" s="705"/>
      <c r="AM81" s="705"/>
      <c r="AN81" s="705"/>
      <c r="AO81" s="705"/>
    </row>
    <row r="82" spans="1:41" ht="15.75">
      <c r="A82" s="648"/>
      <c r="B82" s="647"/>
      <c r="E82" s="736"/>
      <c r="F82" s="736"/>
      <c r="G82" s="736"/>
      <c r="H82" s="736"/>
      <c r="I82" s="736"/>
      <c r="J82" s="736"/>
      <c r="K82" s="736"/>
      <c r="L82" s="647"/>
      <c r="M82" s="736"/>
      <c r="N82" s="736"/>
      <c r="O82" s="736"/>
      <c r="P82" s="736"/>
      <c r="Q82" s="736"/>
      <c r="R82" s="647"/>
      <c r="S82" s="647"/>
      <c r="T82" s="647"/>
      <c r="U82" s="647"/>
      <c r="V82" s="647"/>
      <c r="W82" s="705"/>
      <c r="X82" s="705"/>
      <c r="Y82" s="705"/>
      <c r="Z82" s="705"/>
      <c r="AA82" s="705"/>
      <c r="AB82" s="705"/>
      <c r="AC82" s="705"/>
      <c r="AD82" s="705"/>
      <c r="AE82" s="705"/>
      <c r="AF82" s="705"/>
      <c r="AG82" s="705"/>
      <c r="AH82" s="705"/>
      <c r="AI82" s="705"/>
      <c r="AJ82" s="705"/>
      <c r="AK82" s="705"/>
      <c r="AL82" s="705"/>
      <c r="AM82" s="705"/>
      <c r="AN82" s="705"/>
      <c r="AO82" s="705"/>
    </row>
    <row r="83" spans="1:41" ht="15.75">
      <c r="A83" s="648"/>
      <c r="B83" s="647"/>
      <c r="E83" s="736"/>
      <c r="F83" s="736"/>
      <c r="G83" s="736"/>
      <c r="H83" s="736"/>
      <c r="I83" s="736"/>
      <c r="J83" s="736"/>
      <c r="K83" s="736"/>
      <c r="L83" s="647"/>
      <c r="M83" s="736"/>
      <c r="N83" s="736"/>
      <c r="O83" s="736"/>
      <c r="P83" s="736"/>
      <c r="Q83" s="736"/>
      <c r="R83" s="647"/>
      <c r="S83" s="647"/>
      <c r="T83" s="647"/>
      <c r="U83" s="647"/>
      <c r="V83" s="647"/>
      <c r="W83" s="705"/>
      <c r="X83" s="705"/>
      <c r="Y83" s="705"/>
      <c r="Z83" s="705"/>
      <c r="AA83" s="705"/>
      <c r="AB83" s="705"/>
      <c r="AC83" s="705"/>
      <c r="AD83" s="705"/>
      <c r="AE83" s="705"/>
      <c r="AF83" s="705"/>
      <c r="AG83" s="705"/>
      <c r="AH83" s="705"/>
      <c r="AI83" s="705"/>
      <c r="AJ83" s="705"/>
      <c r="AK83" s="705"/>
      <c r="AL83" s="705"/>
      <c r="AM83" s="705"/>
      <c r="AN83" s="705"/>
      <c r="AO83" s="705"/>
    </row>
    <row r="84" spans="1:41" ht="15.75">
      <c r="A84" s="648"/>
      <c r="B84" s="647"/>
      <c r="E84" s="736"/>
      <c r="F84" s="736"/>
      <c r="G84" s="736"/>
      <c r="H84" s="736"/>
      <c r="I84" s="736"/>
      <c r="J84" s="736"/>
      <c r="K84" s="736"/>
      <c r="L84" s="647"/>
      <c r="M84" s="736"/>
      <c r="N84" s="736"/>
      <c r="O84" s="736"/>
      <c r="P84" s="736"/>
      <c r="Q84" s="736"/>
      <c r="R84" s="647"/>
      <c r="S84" s="647"/>
      <c r="T84" s="647"/>
      <c r="U84" s="647"/>
      <c r="V84" s="647"/>
      <c r="W84" s="705"/>
      <c r="X84" s="705"/>
      <c r="Y84" s="705"/>
      <c r="Z84" s="705"/>
      <c r="AA84" s="705"/>
      <c r="AB84" s="705"/>
      <c r="AC84" s="705"/>
      <c r="AD84" s="705"/>
      <c r="AE84" s="705"/>
      <c r="AF84" s="705"/>
      <c r="AG84" s="705"/>
      <c r="AH84" s="705"/>
      <c r="AI84" s="705"/>
      <c r="AJ84" s="705"/>
      <c r="AK84" s="705"/>
      <c r="AL84" s="705"/>
      <c r="AM84" s="705"/>
      <c r="AN84" s="705"/>
      <c r="AO84" s="705"/>
    </row>
    <row r="85" spans="1:41" ht="15.75">
      <c r="A85" s="648"/>
      <c r="B85" s="647"/>
      <c r="E85" s="736"/>
      <c r="F85" s="736"/>
      <c r="G85" s="736"/>
      <c r="H85" s="736"/>
      <c r="I85" s="736"/>
      <c r="J85" s="736"/>
      <c r="K85" s="736"/>
      <c r="L85" s="647"/>
      <c r="M85" s="736"/>
      <c r="N85" s="736"/>
      <c r="O85" s="736"/>
      <c r="P85" s="736"/>
      <c r="Q85" s="736"/>
      <c r="R85" s="647"/>
      <c r="S85" s="647"/>
      <c r="T85" s="647"/>
      <c r="U85" s="647"/>
      <c r="V85" s="647"/>
      <c r="W85" s="705"/>
      <c r="X85" s="705"/>
      <c r="Y85" s="705"/>
      <c r="Z85" s="705"/>
      <c r="AA85" s="705"/>
      <c r="AB85" s="705"/>
      <c r="AC85" s="705"/>
      <c r="AD85" s="705"/>
      <c r="AE85" s="705"/>
      <c r="AF85" s="705"/>
      <c r="AG85" s="705"/>
      <c r="AH85" s="705"/>
      <c r="AI85" s="705"/>
      <c r="AJ85" s="705"/>
      <c r="AK85" s="705"/>
      <c r="AL85" s="705"/>
      <c r="AM85" s="705"/>
      <c r="AN85" s="705"/>
      <c r="AO85" s="705"/>
    </row>
    <row r="86" spans="1:41" ht="15.75">
      <c r="A86" s="648"/>
      <c r="B86" s="647"/>
      <c r="E86" s="736"/>
      <c r="F86" s="736"/>
      <c r="G86" s="736"/>
      <c r="H86" s="736"/>
      <c r="I86" s="736"/>
      <c r="J86" s="736"/>
      <c r="K86" s="736"/>
      <c r="L86" s="647"/>
      <c r="M86" s="736"/>
      <c r="N86" s="736"/>
      <c r="O86" s="736"/>
      <c r="P86" s="736"/>
      <c r="Q86" s="736"/>
      <c r="R86" s="647"/>
      <c r="S86" s="647"/>
      <c r="T86" s="647"/>
      <c r="U86" s="647"/>
      <c r="V86" s="647"/>
      <c r="W86" s="705"/>
      <c r="X86" s="705"/>
      <c r="Y86" s="705"/>
      <c r="Z86" s="705"/>
      <c r="AA86" s="705"/>
      <c r="AB86" s="705"/>
      <c r="AC86" s="705"/>
      <c r="AD86" s="705"/>
      <c r="AE86" s="705"/>
      <c r="AF86" s="705"/>
      <c r="AG86" s="705"/>
      <c r="AH86" s="705"/>
      <c r="AI86" s="705"/>
      <c r="AJ86" s="705"/>
      <c r="AK86" s="705"/>
      <c r="AL86" s="705"/>
      <c r="AM86" s="705"/>
      <c r="AN86" s="705"/>
      <c r="AO86" s="705"/>
    </row>
    <row r="87" spans="1:41" ht="15.75">
      <c r="A87" s="648"/>
      <c r="B87" s="647"/>
      <c r="E87" s="736"/>
      <c r="F87" s="736"/>
      <c r="G87" s="736"/>
      <c r="H87" s="736"/>
      <c r="I87" s="736"/>
      <c r="J87" s="736"/>
      <c r="K87" s="736"/>
      <c r="L87" s="647"/>
      <c r="M87" s="736"/>
      <c r="N87" s="736"/>
      <c r="O87" s="736"/>
      <c r="P87" s="736"/>
      <c r="Q87" s="736"/>
      <c r="R87" s="647"/>
      <c r="S87" s="647"/>
      <c r="T87" s="647"/>
      <c r="U87" s="647"/>
      <c r="V87" s="647"/>
      <c r="W87" s="705"/>
      <c r="X87" s="705"/>
      <c r="Y87" s="705"/>
      <c r="Z87" s="705"/>
      <c r="AA87" s="705"/>
      <c r="AB87" s="705"/>
      <c r="AC87" s="705"/>
      <c r="AD87" s="705"/>
      <c r="AE87" s="705"/>
      <c r="AF87" s="705"/>
      <c r="AG87" s="705"/>
      <c r="AH87" s="705"/>
      <c r="AI87" s="705"/>
      <c r="AJ87" s="705"/>
      <c r="AK87" s="705"/>
      <c r="AL87" s="705"/>
      <c r="AM87" s="705"/>
      <c r="AN87" s="705"/>
      <c r="AO87" s="705"/>
    </row>
    <row r="88" spans="1:41" ht="15.75">
      <c r="A88" s="648"/>
      <c r="B88" s="647"/>
      <c r="E88" s="736"/>
      <c r="F88" s="736"/>
      <c r="G88" s="736"/>
      <c r="H88" s="736"/>
      <c r="I88" s="736"/>
      <c r="J88" s="736"/>
      <c r="K88" s="736"/>
      <c r="L88" s="647"/>
      <c r="M88" s="736"/>
      <c r="N88" s="736"/>
      <c r="O88" s="736"/>
      <c r="P88" s="736"/>
      <c r="Q88" s="736"/>
      <c r="R88" s="647"/>
      <c r="S88" s="647"/>
      <c r="T88" s="647"/>
      <c r="U88" s="647"/>
      <c r="V88" s="647"/>
      <c r="W88" s="705"/>
      <c r="X88" s="705"/>
      <c r="Y88" s="705"/>
      <c r="Z88" s="705"/>
      <c r="AA88" s="705"/>
      <c r="AB88" s="705"/>
      <c r="AC88" s="705"/>
      <c r="AD88" s="705"/>
      <c r="AE88" s="705"/>
      <c r="AF88" s="705"/>
      <c r="AG88" s="705"/>
      <c r="AH88" s="705"/>
      <c r="AI88" s="705"/>
      <c r="AJ88" s="705"/>
      <c r="AK88" s="705"/>
      <c r="AL88" s="705"/>
      <c r="AM88" s="705"/>
      <c r="AN88" s="705"/>
      <c r="AO88" s="705"/>
    </row>
    <row r="89" spans="1:41" ht="15.75">
      <c r="A89" s="648"/>
      <c r="B89" s="647"/>
      <c r="E89" s="736"/>
      <c r="F89" s="736"/>
      <c r="G89" s="736"/>
      <c r="H89" s="736"/>
      <c r="I89" s="736"/>
      <c r="J89" s="736"/>
      <c r="K89" s="736"/>
      <c r="L89" s="647"/>
      <c r="M89" s="736"/>
      <c r="N89" s="736"/>
      <c r="O89" s="736"/>
      <c r="P89" s="736"/>
      <c r="Q89" s="736"/>
      <c r="R89" s="647"/>
      <c r="S89" s="647"/>
      <c r="T89" s="647"/>
      <c r="U89" s="647"/>
      <c r="V89" s="647"/>
      <c r="W89" s="705"/>
      <c r="X89" s="705"/>
      <c r="Y89" s="705"/>
      <c r="Z89" s="705"/>
      <c r="AA89" s="705"/>
      <c r="AB89" s="705"/>
      <c r="AC89" s="705"/>
      <c r="AD89" s="705"/>
      <c r="AE89" s="705"/>
      <c r="AF89" s="705"/>
      <c r="AG89" s="705"/>
      <c r="AH89" s="705"/>
      <c r="AI89" s="705"/>
      <c r="AJ89" s="705"/>
      <c r="AK89" s="705"/>
      <c r="AL89" s="705"/>
      <c r="AM89" s="705"/>
      <c r="AN89" s="705"/>
      <c r="AO89" s="705"/>
    </row>
    <row r="90" spans="1:41" ht="15.75">
      <c r="A90" s="648"/>
      <c r="B90" s="647"/>
      <c r="E90" s="736"/>
      <c r="F90" s="736"/>
      <c r="G90" s="736"/>
      <c r="H90" s="736"/>
      <c r="I90" s="736"/>
      <c r="J90" s="736"/>
      <c r="K90" s="736"/>
      <c r="L90" s="647"/>
      <c r="M90" s="736"/>
      <c r="N90" s="736"/>
      <c r="O90" s="736"/>
      <c r="P90" s="736"/>
      <c r="Q90" s="736"/>
      <c r="R90" s="647"/>
      <c r="S90" s="647"/>
      <c r="T90" s="647"/>
      <c r="U90" s="647"/>
      <c r="V90" s="647"/>
      <c r="W90" s="705"/>
      <c r="X90" s="705"/>
      <c r="Y90" s="705"/>
      <c r="Z90" s="705"/>
      <c r="AA90" s="705"/>
      <c r="AB90" s="705"/>
      <c r="AC90" s="705"/>
      <c r="AD90" s="705"/>
      <c r="AE90" s="705"/>
      <c r="AF90" s="705"/>
      <c r="AG90" s="705"/>
      <c r="AH90" s="705"/>
      <c r="AI90" s="705"/>
      <c r="AJ90" s="705"/>
      <c r="AK90" s="705"/>
      <c r="AL90" s="705"/>
      <c r="AM90" s="705"/>
      <c r="AN90" s="705"/>
      <c r="AO90" s="705"/>
    </row>
    <row r="91" spans="1:41" ht="15.75">
      <c r="A91" s="648"/>
      <c r="B91" s="647"/>
      <c r="E91" s="736"/>
      <c r="F91" s="736"/>
      <c r="G91" s="736"/>
      <c r="H91" s="736"/>
      <c r="I91" s="736"/>
      <c r="J91" s="736"/>
      <c r="K91" s="736"/>
      <c r="L91" s="647"/>
      <c r="M91" s="736"/>
      <c r="N91" s="736"/>
      <c r="O91" s="736"/>
      <c r="P91" s="736"/>
      <c r="Q91" s="736"/>
      <c r="R91" s="647"/>
      <c r="S91" s="647"/>
      <c r="T91" s="647"/>
      <c r="U91" s="647"/>
      <c r="V91" s="647"/>
      <c r="W91" s="705"/>
      <c r="X91" s="705"/>
      <c r="Y91" s="705"/>
      <c r="Z91" s="705"/>
      <c r="AA91" s="705"/>
      <c r="AB91" s="705"/>
      <c r="AC91" s="705"/>
      <c r="AD91" s="705"/>
      <c r="AE91" s="705"/>
      <c r="AF91" s="705"/>
      <c r="AG91" s="705"/>
      <c r="AH91" s="705"/>
      <c r="AI91" s="705"/>
      <c r="AJ91" s="705"/>
      <c r="AK91" s="705"/>
      <c r="AL91" s="705"/>
      <c r="AM91" s="705"/>
      <c r="AN91" s="705"/>
      <c r="AO91" s="705"/>
    </row>
    <row r="92" spans="1:41" ht="15.75">
      <c r="A92" s="648"/>
      <c r="B92" s="647"/>
      <c r="E92" s="736"/>
      <c r="F92" s="736"/>
      <c r="G92" s="736"/>
      <c r="H92" s="736"/>
      <c r="I92" s="736"/>
      <c r="J92" s="736"/>
      <c r="K92" s="736"/>
      <c r="L92" s="647"/>
      <c r="M92" s="736"/>
      <c r="N92" s="736"/>
      <c r="O92" s="736"/>
      <c r="P92" s="736"/>
      <c r="Q92" s="736"/>
      <c r="R92" s="647"/>
      <c r="S92" s="647"/>
      <c r="T92" s="647"/>
      <c r="U92" s="647"/>
      <c r="V92" s="647"/>
      <c r="W92" s="705"/>
      <c r="X92" s="705"/>
      <c r="Y92" s="705"/>
      <c r="Z92" s="705"/>
      <c r="AA92" s="705"/>
      <c r="AB92" s="705"/>
      <c r="AC92" s="705"/>
      <c r="AD92" s="705"/>
      <c r="AE92" s="705"/>
      <c r="AF92" s="705"/>
      <c r="AG92" s="705"/>
      <c r="AH92" s="705"/>
      <c r="AI92" s="705"/>
      <c r="AJ92" s="705"/>
      <c r="AK92" s="705"/>
      <c r="AL92" s="705"/>
      <c r="AM92" s="705"/>
      <c r="AN92" s="705"/>
      <c r="AO92" s="705"/>
    </row>
    <row r="93" spans="1:41" ht="15.75">
      <c r="A93" s="648"/>
      <c r="B93" s="647"/>
      <c r="E93" s="736"/>
      <c r="F93" s="736"/>
      <c r="G93" s="736"/>
      <c r="H93" s="736"/>
      <c r="I93" s="736"/>
      <c r="J93" s="736"/>
      <c r="K93" s="736"/>
      <c r="L93" s="647"/>
      <c r="M93" s="736"/>
      <c r="N93" s="736"/>
      <c r="O93" s="736"/>
      <c r="P93" s="736"/>
      <c r="Q93" s="736"/>
      <c r="R93" s="647"/>
      <c r="S93" s="647"/>
      <c r="T93" s="647"/>
      <c r="U93" s="647"/>
      <c r="V93" s="647"/>
      <c r="W93" s="705"/>
      <c r="X93" s="705"/>
      <c r="Y93" s="705"/>
      <c r="Z93" s="705"/>
      <c r="AA93" s="705"/>
      <c r="AB93" s="705"/>
      <c r="AC93" s="705"/>
      <c r="AD93" s="705"/>
      <c r="AE93" s="705"/>
      <c r="AF93" s="705"/>
      <c r="AG93" s="705"/>
      <c r="AH93" s="705"/>
      <c r="AI93" s="705"/>
      <c r="AJ93" s="705"/>
      <c r="AK93" s="705"/>
      <c r="AL93" s="705"/>
      <c r="AM93" s="705"/>
      <c r="AN93" s="705"/>
      <c r="AO93" s="705"/>
    </row>
    <row r="94" spans="1:41" ht="15">
      <c r="A94" s="700"/>
      <c r="B94" s="700"/>
      <c r="C94" s="700"/>
      <c r="D94" s="700"/>
      <c r="E94" s="700"/>
      <c r="F94" s="700"/>
      <c r="G94" s="700"/>
      <c r="H94" s="700"/>
      <c r="I94" s="700"/>
      <c r="J94" s="700"/>
      <c r="K94" s="700"/>
      <c r="L94" s="700"/>
      <c r="M94" s="700"/>
      <c r="N94" s="700"/>
      <c r="O94" s="700"/>
      <c r="P94" s="700"/>
      <c r="Q94" s="700"/>
      <c r="R94" s="700"/>
      <c r="S94" s="700"/>
      <c r="T94" s="700"/>
      <c r="U94" s="700"/>
      <c r="V94" s="700"/>
      <c r="W94" s="705"/>
      <c r="X94" s="705"/>
      <c r="Y94" s="705"/>
      <c r="Z94" s="705"/>
      <c r="AA94" s="705"/>
      <c r="AB94" s="705"/>
      <c r="AC94" s="705"/>
      <c r="AD94" s="705"/>
      <c r="AE94" s="705"/>
      <c r="AF94" s="705"/>
      <c r="AG94" s="705"/>
      <c r="AH94" s="705"/>
      <c r="AI94" s="705"/>
      <c r="AJ94" s="705"/>
      <c r="AK94" s="705"/>
      <c r="AL94" s="705"/>
      <c r="AM94" s="705"/>
      <c r="AN94" s="705"/>
      <c r="AO94" s="705"/>
    </row>
    <row r="95" spans="1:41" ht="15">
      <c r="A95" s="700"/>
      <c r="B95" s="700"/>
      <c r="C95" s="700"/>
      <c r="D95" s="700"/>
      <c r="E95" s="700"/>
      <c r="F95" s="700"/>
      <c r="G95" s="700"/>
      <c r="H95" s="700"/>
      <c r="I95" s="700"/>
      <c r="J95" s="700"/>
      <c r="K95" s="700"/>
      <c r="L95" s="700"/>
      <c r="M95" s="700"/>
      <c r="N95" s="700"/>
      <c r="O95" s="700"/>
      <c r="P95" s="700"/>
      <c r="Q95" s="700"/>
      <c r="R95" s="700"/>
      <c r="S95" s="700"/>
      <c r="T95" s="700"/>
      <c r="U95" s="700"/>
      <c r="V95" s="700"/>
      <c r="W95" s="705"/>
      <c r="X95" s="705"/>
      <c r="Y95" s="705"/>
      <c r="Z95" s="705"/>
      <c r="AA95" s="705"/>
      <c r="AB95" s="705"/>
      <c r="AC95" s="705"/>
      <c r="AD95" s="705"/>
      <c r="AE95" s="705"/>
      <c r="AF95" s="705"/>
      <c r="AG95" s="705"/>
      <c r="AH95" s="705"/>
      <c r="AI95" s="705"/>
      <c r="AJ95" s="705"/>
      <c r="AK95" s="705"/>
      <c r="AL95" s="705"/>
      <c r="AM95" s="705"/>
      <c r="AN95" s="705"/>
      <c r="AO95" s="705"/>
    </row>
    <row r="96" spans="1:41" ht="15">
      <c r="A96" s="700"/>
      <c r="B96" s="700"/>
      <c r="C96" s="700"/>
      <c r="D96" s="700"/>
      <c r="E96" s="700"/>
      <c r="F96" s="700"/>
      <c r="G96" s="700"/>
      <c r="H96" s="700"/>
      <c r="I96" s="700"/>
      <c r="J96" s="700"/>
      <c r="K96" s="700"/>
      <c r="L96" s="700"/>
      <c r="M96" s="700"/>
      <c r="N96" s="700"/>
      <c r="O96" s="700"/>
      <c r="P96" s="700"/>
      <c r="Q96" s="700"/>
      <c r="R96" s="700"/>
      <c r="S96" s="700"/>
      <c r="T96" s="700"/>
      <c r="U96" s="700"/>
      <c r="V96" s="700"/>
      <c r="W96" s="705"/>
      <c r="X96" s="705"/>
      <c r="Y96" s="705"/>
      <c r="Z96" s="705"/>
      <c r="AA96" s="705"/>
      <c r="AB96" s="705"/>
      <c r="AC96" s="705"/>
      <c r="AD96" s="705"/>
      <c r="AE96" s="705"/>
      <c r="AF96" s="705"/>
      <c r="AG96" s="705"/>
      <c r="AH96" s="705"/>
      <c r="AI96" s="705"/>
      <c r="AJ96" s="705"/>
      <c r="AK96" s="705"/>
      <c r="AL96" s="705"/>
      <c r="AM96" s="705"/>
      <c r="AN96" s="705"/>
      <c r="AO96" s="705"/>
    </row>
    <row r="97" spans="1:22" ht="15">
      <c r="A97" s="700"/>
      <c r="B97" s="700"/>
      <c r="C97" s="700"/>
      <c r="D97" s="700"/>
      <c r="E97" s="700"/>
      <c r="F97" s="700"/>
      <c r="G97" s="700"/>
      <c r="H97" s="700"/>
      <c r="I97" s="700"/>
      <c r="J97" s="700"/>
      <c r="K97" s="700"/>
      <c r="L97" s="700"/>
      <c r="M97" s="700"/>
      <c r="N97" s="700"/>
      <c r="O97" s="700"/>
      <c r="P97" s="700"/>
      <c r="Q97" s="700"/>
      <c r="R97" s="700"/>
      <c r="S97" s="700"/>
      <c r="T97" s="700"/>
      <c r="U97" s="700"/>
      <c r="V97" s="700"/>
    </row>
    <row r="98" spans="1:22" ht="15">
      <c r="A98" s="700"/>
      <c r="B98" s="700"/>
      <c r="C98" s="700"/>
      <c r="D98" s="700"/>
      <c r="E98" s="700"/>
      <c r="F98" s="700"/>
      <c r="G98" s="700"/>
      <c r="H98" s="700"/>
      <c r="I98" s="700"/>
      <c r="J98" s="700"/>
      <c r="K98" s="700"/>
      <c r="L98" s="700"/>
      <c r="M98" s="700"/>
      <c r="N98" s="700"/>
      <c r="O98" s="700"/>
      <c r="P98" s="700"/>
      <c r="Q98" s="700"/>
      <c r="R98" s="700"/>
      <c r="S98" s="700"/>
      <c r="T98" s="700"/>
      <c r="U98" s="700"/>
      <c r="V98" s="700"/>
    </row>
    <row r="99" spans="1:22" ht="15">
      <c r="A99" s="700"/>
      <c r="B99" s="700"/>
      <c r="C99" s="700"/>
      <c r="D99" s="700"/>
      <c r="E99" s="700"/>
      <c r="F99" s="700"/>
      <c r="G99" s="700"/>
      <c r="H99" s="700"/>
      <c r="I99" s="700"/>
      <c r="J99" s="700"/>
      <c r="K99" s="700"/>
      <c r="L99" s="700"/>
      <c r="M99" s="700"/>
      <c r="N99" s="700"/>
      <c r="O99" s="700"/>
      <c r="P99" s="700"/>
      <c r="Q99" s="700"/>
      <c r="R99" s="700"/>
      <c r="S99" s="700"/>
      <c r="T99" s="700"/>
      <c r="U99" s="700"/>
      <c r="V99" s="700"/>
    </row>
    <row r="100" spans="1:22" ht="15">
      <c r="A100" s="700"/>
      <c r="B100" s="700"/>
      <c r="C100" s="700"/>
      <c r="D100" s="700"/>
      <c r="E100" s="700"/>
      <c r="F100" s="700"/>
      <c r="G100" s="700"/>
      <c r="H100" s="700"/>
      <c r="I100" s="700"/>
      <c r="J100" s="700"/>
      <c r="K100" s="700"/>
      <c r="L100" s="700"/>
      <c r="M100" s="700"/>
      <c r="N100" s="700"/>
      <c r="O100" s="700"/>
      <c r="P100" s="700"/>
      <c r="Q100" s="700"/>
      <c r="R100" s="700"/>
      <c r="S100" s="700"/>
      <c r="T100" s="700"/>
      <c r="U100" s="700"/>
      <c r="V100" s="700"/>
    </row>
    <row r="101" spans="1:22" ht="12.75" customHeight="1">
      <c r="A101" s="700"/>
      <c r="B101" s="700"/>
      <c r="C101" s="700"/>
      <c r="D101" s="700"/>
      <c r="E101" s="700"/>
      <c r="F101" s="700"/>
      <c r="G101" s="700"/>
      <c r="H101" s="700"/>
      <c r="I101" s="700"/>
      <c r="J101" s="700"/>
      <c r="K101" s="700"/>
      <c r="L101" s="700"/>
      <c r="M101" s="700"/>
      <c r="N101" s="700"/>
      <c r="O101" s="700"/>
      <c r="P101" s="700"/>
      <c r="Q101" s="700"/>
      <c r="R101" s="700"/>
      <c r="S101" s="700"/>
      <c r="T101" s="700"/>
      <c r="U101" s="700"/>
      <c r="V101" s="700"/>
    </row>
    <row r="102" spans="1:22" ht="12.75" customHeight="1">
      <c r="A102" s="700"/>
      <c r="B102" s="700"/>
      <c r="C102" s="700"/>
      <c r="D102" s="700"/>
      <c r="E102" s="700"/>
      <c r="F102" s="700"/>
      <c r="G102" s="700"/>
      <c r="H102" s="700"/>
      <c r="I102" s="700"/>
      <c r="J102" s="700"/>
      <c r="K102" s="700"/>
      <c r="L102" s="700"/>
      <c r="M102" s="700"/>
      <c r="N102" s="700"/>
      <c r="O102" s="700"/>
      <c r="P102" s="700"/>
      <c r="Q102" s="700"/>
      <c r="R102" s="700"/>
      <c r="S102" s="700"/>
      <c r="T102" s="700"/>
      <c r="U102" s="700"/>
      <c r="V102" s="700"/>
    </row>
    <row r="103" spans="1:22" ht="12.75" customHeight="1">
      <c r="A103" s="700"/>
      <c r="B103" s="700"/>
      <c r="C103" s="700"/>
      <c r="D103" s="700"/>
      <c r="E103" s="700"/>
      <c r="F103" s="700"/>
      <c r="G103" s="700"/>
      <c r="H103" s="700"/>
      <c r="I103" s="700"/>
      <c r="J103" s="700"/>
      <c r="K103" s="700"/>
      <c r="L103" s="700"/>
      <c r="M103" s="700"/>
      <c r="N103" s="700"/>
      <c r="O103" s="700"/>
      <c r="P103" s="700"/>
      <c r="Q103" s="700"/>
      <c r="R103" s="700"/>
      <c r="S103" s="700"/>
      <c r="T103" s="700"/>
      <c r="U103" s="700"/>
      <c r="V103" s="700"/>
    </row>
    <row r="104" spans="1:22" ht="12.75" customHeight="1">
      <c r="A104" s="700"/>
      <c r="B104" s="700"/>
      <c r="C104" s="700"/>
      <c r="D104" s="700"/>
      <c r="E104" s="700"/>
      <c r="F104" s="700"/>
      <c r="G104" s="700"/>
      <c r="H104" s="700"/>
      <c r="I104" s="700"/>
      <c r="J104" s="700"/>
      <c r="K104" s="700"/>
      <c r="L104" s="700"/>
      <c r="M104" s="700"/>
      <c r="N104" s="700"/>
      <c r="O104" s="700"/>
      <c r="P104" s="700"/>
      <c r="Q104" s="700"/>
      <c r="R104" s="700"/>
      <c r="S104" s="700"/>
      <c r="T104" s="700"/>
      <c r="U104" s="700"/>
      <c r="V104" s="700"/>
    </row>
    <row r="105" spans="1:22" ht="12.75" customHeight="1">
      <c r="A105" s="700"/>
      <c r="B105" s="700"/>
      <c r="C105" s="700"/>
      <c r="D105" s="700"/>
      <c r="E105" s="700"/>
      <c r="F105" s="700"/>
      <c r="G105" s="700"/>
      <c r="H105" s="700"/>
      <c r="I105" s="700"/>
      <c r="J105" s="700"/>
      <c r="K105" s="700"/>
      <c r="L105" s="700"/>
      <c r="M105" s="700"/>
      <c r="N105" s="700"/>
      <c r="O105" s="700"/>
      <c r="P105" s="700"/>
      <c r="Q105" s="700"/>
      <c r="R105" s="700"/>
      <c r="S105" s="700"/>
      <c r="T105" s="700"/>
      <c r="U105" s="700"/>
      <c r="V105" s="700"/>
    </row>
    <row r="106" spans="1:22" ht="12.75" customHeight="1">
      <c r="A106" s="700"/>
      <c r="B106" s="700"/>
      <c r="C106" s="700"/>
      <c r="D106" s="700"/>
      <c r="E106" s="700"/>
      <c r="F106" s="700"/>
      <c r="G106" s="700"/>
      <c r="H106" s="700"/>
      <c r="I106" s="700"/>
      <c r="J106" s="700"/>
      <c r="K106" s="700"/>
      <c r="L106" s="700"/>
      <c r="M106" s="700"/>
      <c r="N106" s="700"/>
      <c r="O106" s="700"/>
      <c r="P106" s="700"/>
      <c r="Q106" s="700"/>
      <c r="R106" s="700"/>
      <c r="S106" s="700"/>
      <c r="T106" s="700"/>
      <c r="U106" s="700"/>
      <c r="V106" s="700"/>
    </row>
    <row r="107" spans="1:22" ht="12.75" customHeight="1">
      <c r="A107" s="700"/>
      <c r="B107" s="700"/>
      <c r="C107" s="700"/>
      <c r="D107" s="700"/>
      <c r="E107" s="700"/>
      <c r="F107" s="700"/>
      <c r="G107" s="700"/>
      <c r="H107" s="700"/>
      <c r="I107" s="700"/>
      <c r="J107" s="700"/>
      <c r="K107" s="700"/>
      <c r="L107" s="700"/>
      <c r="M107" s="700"/>
      <c r="N107" s="700"/>
      <c r="O107" s="700"/>
      <c r="P107" s="700"/>
      <c r="Q107" s="700"/>
      <c r="R107" s="700"/>
      <c r="S107" s="700"/>
      <c r="T107" s="700"/>
      <c r="U107" s="700"/>
      <c r="V107" s="700"/>
    </row>
    <row r="108" spans="1:22" ht="12.75" customHeight="1">
      <c r="A108" s="700"/>
      <c r="B108" s="700"/>
      <c r="C108" s="700"/>
      <c r="D108" s="700"/>
      <c r="E108" s="700"/>
      <c r="F108" s="700"/>
      <c r="G108" s="700"/>
      <c r="H108" s="700"/>
      <c r="I108" s="700"/>
      <c r="J108" s="700"/>
      <c r="K108" s="700"/>
      <c r="L108" s="700"/>
      <c r="M108" s="700"/>
      <c r="N108" s="700"/>
      <c r="O108" s="700"/>
      <c r="P108" s="700"/>
      <c r="Q108" s="700"/>
      <c r="R108" s="700"/>
      <c r="S108" s="700"/>
      <c r="T108" s="700"/>
      <c r="U108" s="700"/>
      <c r="V108" s="700"/>
    </row>
    <row r="109" spans="1:22" ht="12.75" customHeight="1">
      <c r="A109" s="700"/>
      <c r="B109" s="700"/>
      <c r="C109" s="700"/>
      <c r="D109" s="700"/>
      <c r="E109" s="700"/>
      <c r="F109" s="700"/>
      <c r="G109" s="700"/>
      <c r="H109" s="700"/>
      <c r="I109" s="700"/>
      <c r="J109" s="700"/>
      <c r="K109" s="700"/>
      <c r="L109" s="700"/>
      <c r="M109" s="700"/>
      <c r="N109" s="700"/>
      <c r="O109" s="700"/>
      <c r="P109" s="700"/>
      <c r="Q109" s="700"/>
      <c r="R109" s="700"/>
      <c r="S109" s="700"/>
      <c r="T109" s="700"/>
      <c r="U109" s="700"/>
      <c r="V109" s="700"/>
    </row>
    <row r="110" spans="1:22" ht="12.75" customHeight="1">
      <c r="A110" s="700"/>
      <c r="B110" s="700"/>
      <c r="C110" s="700"/>
      <c r="D110" s="700"/>
      <c r="E110" s="700"/>
      <c r="F110" s="700"/>
      <c r="G110" s="700"/>
      <c r="H110" s="700"/>
      <c r="I110" s="700"/>
      <c r="J110" s="700"/>
      <c r="K110" s="700"/>
      <c r="L110" s="700"/>
      <c r="M110" s="700"/>
      <c r="N110" s="700"/>
      <c r="O110" s="700"/>
      <c r="P110" s="700"/>
      <c r="Q110" s="700"/>
      <c r="R110" s="700"/>
      <c r="S110" s="700"/>
      <c r="T110" s="700"/>
      <c r="U110" s="700"/>
      <c r="V110" s="700"/>
    </row>
    <row r="111" spans="1:22" ht="12.75" customHeight="1">
      <c r="A111" s="700"/>
      <c r="B111" s="700"/>
      <c r="C111" s="700"/>
      <c r="D111" s="700"/>
      <c r="E111" s="700"/>
      <c r="F111" s="700"/>
      <c r="G111" s="700"/>
      <c r="H111" s="700"/>
      <c r="I111" s="700"/>
      <c r="J111" s="700"/>
      <c r="K111" s="700"/>
      <c r="L111" s="700"/>
      <c r="M111" s="700"/>
      <c r="N111" s="700"/>
      <c r="O111" s="700"/>
      <c r="P111" s="700"/>
      <c r="Q111" s="700"/>
      <c r="R111" s="700"/>
      <c r="S111" s="700"/>
      <c r="T111" s="700"/>
      <c r="U111" s="700"/>
      <c r="V111" s="700"/>
    </row>
    <row r="112" spans="1:22" ht="15">
      <c r="A112" s="700"/>
      <c r="B112" s="700"/>
      <c r="C112" s="700"/>
      <c r="D112" s="700"/>
      <c r="E112" s="700"/>
      <c r="F112" s="700"/>
      <c r="G112" s="700"/>
      <c r="H112" s="700"/>
      <c r="I112" s="700"/>
      <c r="J112" s="700"/>
      <c r="K112" s="700"/>
      <c r="L112" s="700"/>
      <c r="M112" s="700"/>
      <c r="N112" s="700"/>
      <c r="O112" s="700"/>
      <c r="P112" s="700"/>
      <c r="Q112" s="700"/>
      <c r="R112" s="700"/>
      <c r="S112" s="700"/>
      <c r="T112" s="700"/>
      <c r="U112" s="700"/>
      <c r="V112" s="700"/>
    </row>
    <row r="113" spans="1:22" ht="15">
      <c r="A113" s="700"/>
      <c r="B113" s="700"/>
      <c r="C113" s="700"/>
      <c r="D113" s="700"/>
      <c r="E113" s="700"/>
      <c r="F113" s="700"/>
      <c r="G113" s="700"/>
      <c r="H113" s="700"/>
      <c r="I113" s="700"/>
      <c r="J113" s="700"/>
      <c r="K113" s="700"/>
      <c r="L113" s="700"/>
      <c r="M113" s="700"/>
      <c r="N113" s="700"/>
      <c r="O113" s="700"/>
      <c r="P113" s="700"/>
      <c r="Q113" s="700"/>
      <c r="R113" s="700"/>
      <c r="S113" s="700"/>
      <c r="T113" s="700"/>
      <c r="U113" s="700"/>
      <c r="V113" s="700"/>
    </row>
    <row r="114" spans="1:22" ht="15">
      <c r="A114" s="700"/>
      <c r="B114" s="700"/>
      <c r="C114" s="700"/>
      <c r="D114" s="700"/>
      <c r="E114" s="700"/>
      <c r="F114" s="700"/>
      <c r="G114" s="700"/>
      <c r="H114" s="700"/>
      <c r="I114" s="700"/>
      <c r="J114" s="700"/>
      <c r="K114" s="700"/>
      <c r="L114" s="700"/>
      <c r="M114" s="700"/>
      <c r="N114" s="700"/>
      <c r="O114" s="700"/>
      <c r="P114" s="700"/>
      <c r="Q114" s="700"/>
      <c r="R114" s="700"/>
      <c r="S114" s="700"/>
      <c r="T114" s="700"/>
      <c r="U114" s="700"/>
      <c r="V114" s="700"/>
    </row>
    <row r="115" spans="1:22" ht="15">
      <c r="A115" s="700"/>
      <c r="B115" s="700"/>
      <c r="C115" s="700"/>
      <c r="D115" s="700"/>
      <c r="E115" s="700"/>
      <c r="F115" s="700"/>
      <c r="G115" s="700"/>
      <c r="H115" s="700"/>
      <c r="I115" s="700"/>
      <c r="J115" s="700"/>
      <c r="K115" s="700"/>
      <c r="L115" s="700"/>
      <c r="M115" s="700"/>
      <c r="N115" s="700"/>
      <c r="O115" s="700"/>
      <c r="P115" s="700"/>
      <c r="Q115" s="700"/>
      <c r="R115" s="700"/>
      <c r="S115" s="700"/>
      <c r="T115" s="700"/>
      <c r="U115" s="700"/>
      <c r="V115" s="700"/>
    </row>
    <row r="116" spans="1:22" ht="15">
      <c r="A116" s="700"/>
      <c r="B116" s="700"/>
      <c r="C116" s="700"/>
      <c r="D116" s="700"/>
      <c r="E116" s="700"/>
      <c r="F116" s="700"/>
      <c r="G116" s="700"/>
      <c r="H116" s="700"/>
      <c r="I116" s="700"/>
      <c r="J116" s="700"/>
      <c r="K116" s="700"/>
      <c r="L116" s="700"/>
      <c r="M116" s="700"/>
      <c r="N116" s="700"/>
      <c r="O116" s="700"/>
      <c r="P116" s="700"/>
      <c r="Q116" s="700"/>
      <c r="R116" s="700"/>
      <c r="S116" s="700"/>
      <c r="T116" s="700"/>
      <c r="U116" s="700"/>
      <c r="V116" s="700"/>
    </row>
    <row r="117" spans="1:22" ht="15">
      <c r="A117" s="700"/>
      <c r="B117" s="700"/>
      <c r="C117" s="700"/>
      <c r="D117" s="700"/>
      <c r="E117" s="700"/>
      <c r="F117" s="700"/>
      <c r="G117" s="700"/>
      <c r="H117" s="700"/>
      <c r="I117" s="700"/>
      <c r="J117" s="700"/>
      <c r="K117" s="700"/>
      <c r="L117" s="700"/>
      <c r="M117" s="700"/>
      <c r="N117" s="700"/>
      <c r="O117" s="700"/>
      <c r="P117" s="700"/>
      <c r="Q117" s="700"/>
      <c r="R117" s="700"/>
      <c r="S117" s="700"/>
      <c r="T117" s="700"/>
      <c r="U117" s="700"/>
      <c r="V117" s="700"/>
    </row>
    <row r="118" spans="1:22" ht="15">
      <c r="A118" s="700"/>
      <c r="B118" s="700"/>
      <c r="C118" s="700"/>
      <c r="D118" s="700"/>
      <c r="E118" s="700"/>
      <c r="F118" s="700"/>
      <c r="G118" s="700"/>
      <c r="H118" s="700"/>
      <c r="I118" s="700"/>
      <c r="J118" s="700"/>
      <c r="K118" s="700"/>
      <c r="L118" s="700"/>
      <c r="M118" s="700"/>
      <c r="N118" s="700"/>
      <c r="O118" s="700"/>
      <c r="P118" s="700"/>
      <c r="Q118" s="700"/>
      <c r="R118" s="700"/>
      <c r="S118" s="700"/>
      <c r="T118" s="700"/>
      <c r="U118" s="700"/>
      <c r="V118" s="700"/>
    </row>
    <row r="119" spans="1:22" ht="15">
      <c r="A119" s="700"/>
      <c r="B119" s="700"/>
      <c r="C119" s="700"/>
      <c r="D119" s="700"/>
      <c r="E119" s="700"/>
      <c r="F119" s="700"/>
      <c r="G119" s="700"/>
      <c r="H119" s="700"/>
      <c r="I119" s="700"/>
      <c r="J119" s="700"/>
      <c r="K119" s="700"/>
      <c r="L119" s="700"/>
      <c r="M119" s="700"/>
      <c r="N119" s="700"/>
      <c r="O119" s="700"/>
      <c r="P119" s="700"/>
      <c r="Q119" s="700"/>
      <c r="R119" s="700"/>
      <c r="S119" s="700"/>
      <c r="T119" s="700"/>
      <c r="U119" s="700"/>
      <c r="V119" s="700"/>
    </row>
    <row r="120" spans="1:22" ht="15">
      <c r="A120" s="700"/>
      <c r="B120" s="700"/>
      <c r="C120" s="700"/>
      <c r="D120" s="700"/>
      <c r="E120" s="700"/>
      <c r="F120" s="700"/>
      <c r="G120" s="700"/>
      <c r="H120" s="700"/>
      <c r="I120" s="700"/>
      <c r="J120" s="700"/>
      <c r="K120" s="700"/>
      <c r="L120" s="700"/>
      <c r="M120" s="700"/>
      <c r="N120" s="700"/>
      <c r="O120" s="700"/>
      <c r="P120" s="700"/>
      <c r="Q120" s="700"/>
      <c r="R120" s="700"/>
      <c r="S120" s="700"/>
      <c r="T120" s="700"/>
      <c r="U120" s="700"/>
      <c r="V120" s="700"/>
    </row>
    <row r="121" spans="1:22" ht="15">
      <c r="A121" s="700"/>
      <c r="B121" s="700"/>
      <c r="C121" s="700"/>
      <c r="D121" s="700"/>
      <c r="E121" s="700"/>
      <c r="F121" s="700"/>
      <c r="G121" s="700"/>
      <c r="H121" s="700"/>
      <c r="I121" s="700"/>
      <c r="J121" s="700"/>
      <c r="K121" s="700"/>
      <c r="L121" s="700"/>
      <c r="M121" s="700"/>
      <c r="N121" s="700"/>
      <c r="O121" s="700"/>
      <c r="P121" s="700"/>
      <c r="Q121" s="700"/>
      <c r="R121" s="700"/>
      <c r="S121" s="700"/>
      <c r="T121" s="700"/>
      <c r="U121" s="700"/>
      <c r="V121" s="700"/>
    </row>
    <row r="122" spans="1:22" ht="15">
      <c r="A122" s="700"/>
      <c r="B122" s="700"/>
      <c r="C122" s="700"/>
      <c r="D122" s="700"/>
      <c r="E122" s="700"/>
      <c r="F122" s="700"/>
      <c r="G122" s="700"/>
      <c r="H122" s="700"/>
      <c r="I122" s="700"/>
      <c r="J122" s="700"/>
      <c r="K122" s="700"/>
      <c r="L122" s="700"/>
      <c r="M122" s="700"/>
      <c r="N122" s="700"/>
      <c r="O122" s="700"/>
      <c r="P122" s="700"/>
      <c r="Q122" s="700"/>
      <c r="R122" s="700"/>
      <c r="S122" s="700"/>
      <c r="T122" s="700"/>
      <c r="U122" s="700"/>
      <c r="V122" s="700"/>
    </row>
    <row r="123" spans="1:22" ht="15">
      <c r="A123" s="700"/>
      <c r="B123" s="700"/>
      <c r="C123" s="700"/>
      <c r="D123" s="700"/>
      <c r="E123" s="700"/>
      <c r="F123" s="700"/>
      <c r="G123" s="700"/>
      <c r="H123" s="700"/>
      <c r="I123" s="700"/>
      <c r="J123" s="700"/>
      <c r="K123" s="700"/>
      <c r="L123" s="700"/>
      <c r="M123" s="700"/>
      <c r="N123" s="700"/>
      <c r="O123" s="700"/>
      <c r="P123" s="700"/>
      <c r="Q123" s="700"/>
      <c r="R123" s="700"/>
      <c r="S123" s="700"/>
      <c r="T123" s="700"/>
      <c r="U123" s="700"/>
      <c r="V123" s="700"/>
    </row>
    <row r="124" spans="1:22" ht="15">
      <c r="A124" s="700"/>
      <c r="B124" s="700"/>
      <c r="C124" s="700"/>
      <c r="D124" s="700"/>
      <c r="E124" s="700"/>
      <c r="F124" s="700"/>
      <c r="G124" s="700"/>
      <c r="H124" s="700"/>
      <c r="I124" s="700"/>
      <c r="J124" s="700"/>
      <c r="K124" s="700"/>
      <c r="L124" s="700"/>
      <c r="M124" s="700"/>
      <c r="N124" s="700"/>
      <c r="O124" s="700"/>
      <c r="P124" s="700"/>
      <c r="Q124" s="700"/>
      <c r="R124" s="700"/>
      <c r="S124" s="700"/>
      <c r="T124" s="700"/>
      <c r="U124" s="700"/>
      <c r="V124" s="700"/>
    </row>
    <row r="125" spans="1:22" ht="15">
      <c r="A125" s="700"/>
      <c r="B125" s="700"/>
      <c r="C125" s="700"/>
      <c r="D125" s="700"/>
      <c r="E125" s="700"/>
      <c r="F125" s="700"/>
      <c r="G125" s="700"/>
      <c r="H125" s="700"/>
      <c r="I125" s="700"/>
      <c r="J125" s="700"/>
      <c r="K125" s="700"/>
      <c r="L125" s="700"/>
      <c r="M125" s="700"/>
      <c r="N125" s="700"/>
      <c r="O125" s="700"/>
      <c r="P125" s="700"/>
      <c r="Q125" s="700"/>
      <c r="R125" s="700"/>
      <c r="S125" s="700"/>
      <c r="T125" s="700"/>
      <c r="U125" s="700"/>
      <c r="V125" s="700"/>
    </row>
    <row r="126" spans="1:22" ht="15">
      <c r="A126" s="700"/>
      <c r="B126" s="700"/>
      <c r="C126" s="700"/>
      <c r="D126" s="700"/>
      <c r="E126" s="700"/>
      <c r="F126" s="700"/>
      <c r="G126" s="700"/>
      <c r="H126" s="700"/>
      <c r="I126" s="700"/>
      <c r="J126" s="700"/>
      <c r="K126" s="700"/>
      <c r="L126" s="700"/>
      <c r="M126" s="700"/>
      <c r="N126" s="700"/>
      <c r="O126" s="700"/>
      <c r="P126" s="700"/>
      <c r="Q126" s="700"/>
      <c r="R126" s="700"/>
      <c r="S126" s="700"/>
      <c r="T126" s="700"/>
      <c r="U126" s="700"/>
      <c r="V126" s="700"/>
    </row>
    <row r="127" spans="1:22" ht="15">
      <c r="A127" s="700"/>
      <c r="B127" s="700"/>
      <c r="C127" s="700"/>
      <c r="D127" s="700"/>
      <c r="E127" s="700"/>
      <c r="F127" s="700"/>
      <c r="G127" s="700"/>
      <c r="H127" s="700"/>
      <c r="I127" s="700"/>
      <c r="J127" s="700"/>
      <c r="K127" s="700"/>
      <c r="L127" s="700"/>
      <c r="M127" s="700"/>
      <c r="N127" s="700"/>
      <c r="O127" s="700"/>
      <c r="P127" s="700"/>
      <c r="Q127" s="700"/>
      <c r="R127" s="700"/>
      <c r="S127" s="700"/>
      <c r="T127" s="700"/>
      <c r="U127" s="700"/>
      <c r="V127" s="700"/>
    </row>
    <row r="128" spans="1:22" ht="15">
      <c r="A128" s="700"/>
      <c r="B128" s="700"/>
      <c r="C128" s="700"/>
      <c r="D128" s="700"/>
      <c r="E128" s="700"/>
      <c r="F128" s="700"/>
      <c r="G128" s="700"/>
      <c r="H128" s="700"/>
      <c r="I128" s="700"/>
      <c r="J128" s="700"/>
      <c r="K128" s="700"/>
      <c r="L128" s="700"/>
      <c r="M128" s="700"/>
      <c r="N128" s="700"/>
      <c r="O128" s="700"/>
      <c r="P128" s="700"/>
      <c r="Q128" s="700"/>
      <c r="R128" s="700"/>
      <c r="S128" s="700"/>
      <c r="T128" s="700"/>
      <c r="U128" s="700"/>
      <c r="V128" s="700"/>
    </row>
    <row r="129" spans="1:22" ht="15">
      <c r="A129" s="700"/>
      <c r="B129" s="700"/>
      <c r="C129" s="700"/>
      <c r="D129" s="700"/>
      <c r="E129" s="700"/>
      <c r="F129" s="700"/>
      <c r="G129" s="700"/>
      <c r="H129" s="700"/>
      <c r="I129" s="700"/>
      <c r="J129" s="700"/>
      <c r="K129" s="700"/>
      <c r="L129" s="700"/>
      <c r="M129" s="700"/>
      <c r="N129" s="700"/>
      <c r="O129" s="700"/>
      <c r="P129" s="700"/>
      <c r="Q129" s="700"/>
      <c r="R129" s="700"/>
      <c r="S129" s="700"/>
      <c r="T129" s="700"/>
      <c r="U129" s="700"/>
      <c r="V129" s="700"/>
    </row>
    <row r="130" spans="1:22" ht="15">
      <c r="A130" s="700"/>
      <c r="B130" s="700"/>
      <c r="C130" s="700"/>
      <c r="D130" s="700"/>
      <c r="E130" s="700"/>
      <c r="F130" s="700"/>
      <c r="G130" s="700"/>
      <c r="H130" s="700"/>
      <c r="I130" s="700"/>
      <c r="J130" s="700"/>
      <c r="K130" s="700"/>
      <c r="L130" s="700"/>
      <c r="M130" s="700"/>
      <c r="N130" s="700"/>
      <c r="O130" s="700"/>
      <c r="P130" s="700"/>
      <c r="Q130" s="700"/>
      <c r="R130" s="700"/>
      <c r="S130" s="700"/>
      <c r="T130" s="700"/>
      <c r="U130" s="700"/>
      <c r="V130" s="700"/>
    </row>
    <row r="131" spans="1:22" ht="15">
      <c r="A131" s="700"/>
      <c r="B131" s="700"/>
      <c r="C131" s="700"/>
      <c r="D131" s="700"/>
      <c r="E131" s="700"/>
      <c r="F131" s="700"/>
      <c r="G131" s="700"/>
      <c r="H131" s="700"/>
      <c r="I131" s="700"/>
      <c r="J131" s="700"/>
      <c r="K131" s="700"/>
      <c r="L131" s="700"/>
      <c r="M131" s="700"/>
      <c r="N131" s="700"/>
      <c r="O131" s="700"/>
      <c r="P131" s="700"/>
      <c r="Q131" s="700"/>
      <c r="R131" s="700"/>
      <c r="S131" s="700"/>
      <c r="T131" s="700"/>
      <c r="U131" s="700"/>
      <c r="V131" s="700"/>
    </row>
    <row r="132" spans="1:22" ht="12.75" customHeight="1">
      <c r="A132" s="700"/>
      <c r="B132" s="700"/>
      <c r="C132" s="700"/>
      <c r="D132" s="700"/>
      <c r="E132" s="700"/>
      <c r="F132" s="700"/>
      <c r="G132" s="700"/>
      <c r="H132" s="700"/>
      <c r="I132" s="700"/>
      <c r="J132" s="700"/>
      <c r="K132" s="700"/>
      <c r="L132" s="700"/>
      <c r="M132" s="700"/>
      <c r="N132" s="700"/>
      <c r="O132" s="700"/>
      <c r="P132" s="700"/>
      <c r="Q132" s="700"/>
      <c r="R132" s="700"/>
      <c r="S132" s="700"/>
      <c r="T132" s="700"/>
      <c r="U132" s="700"/>
      <c r="V132" s="700"/>
    </row>
    <row r="133" spans="1:22" ht="12.75" customHeight="1">
      <c r="A133" s="700"/>
      <c r="B133" s="700"/>
      <c r="C133" s="700"/>
      <c r="D133" s="700"/>
      <c r="E133" s="700"/>
      <c r="F133" s="700"/>
      <c r="G133" s="700"/>
      <c r="H133" s="700"/>
      <c r="I133" s="700"/>
      <c r="J133" s="700"/>
      <c r="K133" s="700"/>
      <c r="L133" s="700"/>
      <c r="M133" s="700"/>
      <c r="N133" s="700"/>
      <c r="O133" s="700"/>
      <c r="P133" s="700"/>
      <c r="Q133" s="700"/>
      <c r="R133" s="700"/>
      <c r="S133" s="700"/>
      <c r="T133" s="700"/>
      <c r="U133" s="700"/>
      <c r="V133" s="700"/>
    </row>
    <row r="134" spans="1:22" ht="12.75" customHeight="1">
      <c r="A134" s="700"/>
      <c r="B134" s="700"/>
      <c r="C134" s="700"/>
      <c r="D134" s="700"/>
      <c r="E134" s="700"/>
      <c r="F134" s="700"/>
      <c r="G134" s="700"/>
      <c r="H134" s="700"/>
      <c r="I134" s="700"/>
      <c r="J134" s="700"/>
      <c r="K134" s="700"/>
      <c r="L134" s="700"/>
      <c r="M134" s="700"/>
      <c r="N134" s="700"/>
      <c r="O134" s="700"/>
      <c r="P134" s="700"/>
      <c r="Q134" s="700"/>
      <c r="R134" s="700"/>
      <c r="S134" s="700"/>
      <c r="T134" s="700"/>
      <c r="U134" s="700"/>
      <c r="V134" s="700"/>
    </row>
    <row r="135" spans="1:22" ht="15">
      <c r="A135" s="700"/>
      <c r="B135" s="700"/>
      <c r="C135" s="700"/>
      <c r="D135" s="700"/>
      <c r="E135" s="700"/>
      <c r="F135" s="700"/>
      <c r="G135" s="700"/>
      <c r="H135" s="700"/>
      <c r="I135" s="700"/>
      <c r="J135" s="700"/>
      <c r="K135" s="700"/>
      <c r="L135" s="700"/>
      <c r="M135" s="700"/>
      <c r="N135" s="700"/>
      <c r="O135" s="700"/>
      <c r="P135" s="700"/>
      <c r="Q135" s="700"/>
      <c r="R135" s="700"/>
      <c r="S135" s="700"/>
      <c r="T135" s="700"/>
      <c r="U135" s="700"/>
      <c r="V135" s="700"/>
    </row>
    <row r="136" spans="1:22" ht="15">
      <c r="A136" s="700"/>
      <c r="B136" s="700"/>
      <c r="C136" s="700"/>
      <c r="D136" s="700"/>
      <c r="E136" s="700"/>
      <c r="F136" s="700"/>
      <c r="G136" s="700"/>
      <c r="H136" s="700"/>
      <c r="I136" s="700"/>
      <c r="J136" s="700"/>
      <c r="K136" s="700"/>
      <c r="L136" s="700"/>
      <c r="M136" s="700"/>
      <c r="N136" s="700"/>
      <c r="O136" s="700"/>
      <c r="P136" s="700"/>
      <c r="Q136" s="700"/>
      <c r="R136" s="700"/>
      <c r="S136" s="700"/>
      <c r="T136" s="700"/>
      <c r="U136" s="700"/>
      <c r="V136" s="700"/>
    </row>
    <row r="137" spans="1:22" ht="15">
      <c r="A137" s="700"/>
      <c r="B137" s="700"/>
      <c r="C137" s="700"/>
      <c r="D137" s="700"/>
      <c r="E137" s="700"/>
      <c r="F137" s="700"/>
      <c r="G137" s="700"/>
      <c r="H137" s="700"/>
      <c r="I137" s="700"/>
      <c r="J137" s="700"/>
      <c r="K137" s="700"/>
      <c r="L137" s="700"/>
      <c r="M137" s="700"/>
      <c r="N137" s="700"/>
      <c r="O137" s="700"/>
      <c r="P137" s="700"/>
      <c r="Q137" s="700"/>
      <c r="R137" s="700"/>
      <c r="S137" s="700"/>
      <c r="T137" s="700"/>
      <c r="U137" s="700"/>
      <c r="V137" s="700"/>
    </row>
    <row r="138" spans="1:22" ht="15">
      <c r="A138" s="700"/>
      <c r="B138" s="700"/>
      <c r="C138" s="700"/>
      <c r="D138" s="700"/>
      <c r="E138" s="700"/>
      <c r="F138" s="700"/>
      <c r="G138" s="700"/>
      <c r="H138" s="700"/>
      <c r="I138" s="700"/>
      <c r="J138" s="700"/>
      <c r="K138" s="700"/>
      <c r="L138" s="700"/>
      <c r="M138" s="700"/>
      <c r="N138" s="700"/>
      <c r="O138" s="700"/>
      <c r="P138" s="700"/>
      <c r="Q138" s="700"/>
      <c r="R138" s="700"/>
      <c r="S138" s="700"/>
      <c r="T138" s="700"/>
      <c r="U138" s="700"/>
      <c r="V138" s="700"/>
    </row>
    <row r="139" spans="1:22" ht="15">
      <c r="A139" s="700"/>
      <c r="B139" s="700"/>
      <c r="C139" s="700"/>
      <c r="D139" s="700"/>
      <c r="E139" s="700"/>
      <c r="F139" s="700"/>
      <c r="G139" s="700"/>
      <c r="H139" s="700"/>
      <c r="I139" s="700"/>
      <c r="J139" s="700"/>
      <c r="K139" s="700"/>
      <c r="L139" s="700"/>
      <c r="M139" s="700"/>
      <c r="N139" s="700"/>
      <c r="O139" s="700"/>
      <c r="P139" s="700"/>
      <c r="Q139" s="700"/>
      <c r="R139" s="700"/>
      <c r="S139" s="700"/>
      <c r="T139" s="700"/>
      <c r="U139" s="700"/>
      <c r="V139" s="700"/>
    </row>
    <row r="140" spans="1:22" ht="15">
      <c r="A140" s="700"/>
      <c r="B140" s="700"/>
      <c r="C140" s="700"/>
      <c r="D140" s="700"/>
      <c r="E140" s="700"/>
      <c r="F140" s="700"/>
      <c r="G140" s="700"/>
      <c r="H140" s="700"/>
      <c r="I140" s="700"/>
      <c r="J140" s="700"/>
      <c r="K140" s="700"/>
      <c r="L140" s="700"/>
      <c r="M140" s="700"/>
      <c r="N140" s="700"/>
      <c r="O140" s="700"/>
      <c r="P140" s="700"/>
      <c r="Q140" s="700"/>
      <c r="R140" s="700"/>
      <c r="S140" s="700"/>
      <c r="T140" s="700"/>
      <c r="U140" s="700"/>
      <c r="V140" s="700"/>
    </row>
    <row r="141" spans="1:22" ht="15">
      <c r="A141" s="700"/>
      <c r="B141" s="700"/>
      <c r="C141" s="700"/>
      <c r="D141" s="700"/>
      <c r="E141" s="700"/>
      <c r="F141" s="700"/>
      <c r="G141" s="700"/>
      <c r="H141" s="700"/>
      <c r="I141" s="700"/>
      <c r="J141" s="700"/>
      <c r="K141" s="700"/>
      <c r="L141" s="700"/>
      <c r="M141" s="700"/>
      <c r="N141" s="700"/>
      <c r="O141" s="700"/>
      <c r="P141" s="700"/>
      <c r="Q141" s="700"/>
      <c r="R141" s="700"/>
      <c r="S141" s="700"/>
      <c r="T141" s="700"/>
      <c r="U141" s="700"/>
      <c r="V141" s="700"/>
    </row>
    <row r="142" spans="1:22" ht="15">
      <c r="A142" s="700"/>
      <c r="B142" s="700"/>
      <c r="C142" s="700"/>
      <c r="D142" s="700"/>
      <c r="E142" s="700"/>
      <c r="F142" s="700"/>
      <c r="G142" s="700"/>
      <c r="H142" s="700"/>
      <c r="I142" s="700"/>
      <c r="J142" s="700"/>
      <c r="K142" s="700"/>
      <c r="L142" s="700"/>
      <c r="M142" s="700"/>
      <c r="N142" s="700"/>
      <c r="O142" s="700"/>
      <c r="P142" s="700"/>
      <c r="Q142" s="700"/>
      <c r="R142" s="700"/>
      <c r="S142" s="700"/>
      <c r="T142" s="700"/>
      <c r="U142" s="700"/>
      <c r="V142" s="700"/>
    </row>
    <row r="143" spans="1:22" ht="15">
      <c r="A143" s="700"/>
      <c r="B143" s="700"/>
      <c r="C143" s="700"/>
      <c r="D143" s="700"/>
      <c r="E143" s="700"/>
      <c r="F143" s="700"/>
      <c r="G143" s="700"/>
      <c r="H143" s="700"/>
      <c r="I143" s="700"/>
      <c r="J143" s="700"/>
      <c r="K143" s="700"/>
      <c r="L143" s="700"/>
      <c r="M143" s="700"/>
      <c r="N143" s="700"/>
      <c r="O143" s="700"/>
      <c r="P143" s="700"/>
      <c r="Q143" s="700"/>
      <c r="R143" s="700"/>
      <c r="S143" s="700"/>
      <c r="T143" s="700"/>
      <c r="U143" s="700"/>
      <c r="V143" s="700"/>
    </row>
    <row r="144" spans="1:22" ht="15">
      <c r="A144" s="700"/>
      <c r="B144" s="700"/>
      <c r="C144" s="700"/>
      <c r="D144" s="700"/>
      <c r="E144" s="700"/>
      <c r="F144" s="700"/>
      <c r="G144" s="700"/>
      <c r="H144" s="700"/>
      <c r="I144" s="700"/>
      <c r="J144" s="700"/>
      <c r="K144" s="700"/>
      <c r="L144" s="700"/>
      <c r="M144" s="700"/>
      <c r="N144" s="700"/>
      <c r="O144" s="700"/>
      <c r="P144" s="700"/>
      <c r="Q144" s="700"/>
      <c r="R144" s="700"/>
      <c r="S144" s="700"/>
      <c r="T144" s="700"/>
      <c r="U144" s="700"/>
      <c r="V144" s="700"/>
    </row>
    <row r="145" spans="1:22" ht="15">
      <c r="A145" s="700"/>
      <c r="B145" s="700"/>
      <c r="C145" s="700"/>
      <c r="D145" s="700"/>
      <c r="E145" s="700"/>
      <c r="F145" s="700"/>
      <c r="G145" s="700"/>
      <c r="H145" s="700"/>
      <c r="I145" s="700"/>
      <c r="J145" s="700"/>
      <c r="K145" s="700"/>
      <c r="L145" s="700"/>
      <c r="M145" s="700"/>
      <c r="N145" s="700"/>
      <c r="O145" s="700"/>
      <c r="P145" s="700"/>
      <c r="Q145" s="700"/>
      <c r="R145" s="700"/>
      <c r="S145" s="700"/>
      <c r="T145" s="700"/>
      <c r="U145" s="700"/>
      <c r="V145" s="700"/>
    </row>
  </sheetData>
  <sheetProtection/>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6"/>
  <sheetViews>
    <sheetView zoomScale="70" zoomScaleNormal="70" zoomScaleSheetLayoutView="85" zoomScalePageLayoutView="0" workbookViewId="0" topLeftCell="A25">
      <selection activeCell="C73" sqref="C73"/>
    </sheetView>
  </sheetViews>
  <sheetFormatPr defaultColWidth="9.140625" defaultRowHeight="12.75"/>
  <cols>
    <col min="1" max="1" width="10.421875" style="61" customWidth="1"/>
    <col min="2" max="2" width="15.140625" style="29" customWidth="1"/>
    <col min="3" max="3" width="50.7109375" style="10" customWidth="1"/>
    <col min="4" max="4" width="15.7109375" style="10" customWidth="1"/>
    <col min="5" max="5" width="22.00390625" style="10" customWidth="1"/>
    <col min="6" max="6" width="17.28125" style="10" customWidth="1"/>
    <col min="7" max="7" width="47.7109375" style="10" customWidth="1"/>
    <col min="8" max="8" width="13.8515625" style="10" customWidth="1"/>
    <col min="9" max="9" width="9.140625" style="10" customWidth="1"/>
    <col min="10" max="10" width="12.421875" style="10" bestFit="1" customWidth="1"/>
    <col min="11" max="11" width="13.28125" style="10" customWidth="1"/>
    <col min="12" max="16384" width="9.140625" style="10" customWidth="1"/>
  </cols>
  <sheetData>
    <row r="1" spans="1:8" ht="15">
      <c r="A1" s="1203" t="s">
        <v>491</v>
      </c>
      <c r="B1" s="1203"/>
      <c r="C1" s="1203"/>
      <c r="D1" s="1203"/>
      <c r="E1" s="1203"/>
      <c r="F1" s="1203"/>
      <c r="G1" s="1203"/>
      <c r="H1" s="41"/>
    </row>
    <row r="2" spans="1:11" ht="17.25" customHeight="1">
      <c r="A2" s="1202" t="str">
        <f>"Cost of Service Formula Rate Using Actual/Projected FF1 Balances"</f>
        <v>Cost of Service Formula Rate Using Actual/Projected FF1 Balances</v>
      </c>
      <c r="B2" s="1202"/>
      <c r="C2" s="1202"/>
      <c r="D2" s="1202"/>
      <c r="E2" s="1202"/>
      <c r="F2" s="1202"/>
      <c r="G2" s="1202"/>
      <c r="H2" s="115"/>
      <c r="I2" s="115"/>
      <c r="J2" s="115"/>
      <c r="K2" s="115"/>
    </row>
    <row r="3" spans="1:7" ht="18" customHeight="1">
      <c r="A3" s="1202" t="s">
        <v>627</v>
      </c>
      <c r="B3" s="1202"/>
      <c r="C3" s="1202"/>
      <c r="D3" s="1202"/>
      <c r="E3" s="1202"/>
      <c r="F3" s="1202"/>
      <c r="G3" s="1202"/>
    </row>
    <row r="4" spans="1:7" ht="19.5" customHeight="1">
      <c r="A4" s="1206" t="str">
        <f>+'KP WS A  - RB Support '!A4:F4</f>
        <v>KENTUCKY POWER COMPANY</v>
      </c>
      <c r="B4" s="1206"/>
      <c r="C4" s="1206"/>
      <c r="D4" s="1206"/>
      <c r="E4" s="1206"/>
      <c r="F4" s="1206"/>
      <c r="G4" s="1206"/>
    </row>
    <row r="5" spans="1:7" ht="12.75" customHeight="1">
      <c r="A5" s="1203"/>
      <c r="B5" s="1203"/>
      <c r="C5" s="1203"/>
      <c r="D5" s="1203"/>
      <c r="E5" s="1203"/>
      <c r="F5" s="1203"/>
      <c r="G5" s="48"/>
    </row>
    <row r="6" spans="1:7" ht="18">
      <c r="A6" s="1220"/>
      <c r="B6" s="1220"/>
      <c r="C6" s="1220"/>
      <c r="D6" s="1220"/>
      <c r="E6" s="1220"/>
      <c r="F6" s="1220"/>
      <c r="G6" s="1220"/>
    </row>
    <row r="7" spans="1:7" ht="18">
      <c r="A7" s="196"/>
      <c r="B7" s="196"/>
      <c r="C7" s="196"/>
      <c r="D7" s="196"/>
      <c r="E7" s="196"/>
      <c r="F7" s="196"/>
      <c r="G7" s="196"/>
    </row>
    <row r="8" spans="2:7" ht="15.75">
      <c r="B8" s="38" t="s">
        <v>194</v>
      </c>
      <c r="C8" s="38" t="s">
        <v>195</v>
      </c>
      <c r="D8" s="38" t="s">
        <v>196</v>
      </c>
      <c r="E8" s="38" t="s">
        <v>197</v>
      </c>
      <c r="F8" s="38" t="s">
        <v>115</v>
      </c>
      <c r="G8" s="38" t="s">
        <v>116</v>
      </c>
    </row>
    <row r="9" spans="2:7" ht="15.75">
      <c r="B9" s="53"/>
      <c r="C9" s="48"/>
      <c r="D9" s="237"/>
      <c r="E9" s="238"/>
      <c r="F9" s="239" t="s">
        <v>118</v>
      </c>
      <c r="G9" s="38"/>
    </row>
    <row r="10" spans="1:7" ht="15.75">
      <c r="A10" s="56" t="s">
        <v>201</v>
      </c>
      <c r="B10" s="53"/>
      <c r="C10" s="62"/>
      <c r="D10" s="56">
        <f>+'KP TCOS'!L2</f>
        <v>2017</v>
      </c>
      <c r="E10" s="239" t="s">
        <v>118</v>
      </c>
      <c r="F10" s="56" t="s">
        <v>147</v>
      </c>
      <c r="G10" s="38"/>
    </row>
    <row r="11" spans="1:7" ht="15.75">
      <c r="A11" s="56" t="s">
        <v>137</v>
      </c>
      <c r="B11" s="56" t="s">
        <v>62</v>
      </c>
      <c r="C11" s="56" t="s">
        <v>199</v>
      </c>
      <c r="D11" s="56" t="s">
        <v>63</v>
      </c>
      <c r="E11" s="56" t="s">
        <v>120</v>
      </c>
      <c r="F11" s="56" t="s">
        <v>64</v>
      </c>
      <c r="G11" s="56" t="s">
        <v>65</v>
      </c>
    </row>
    <row r="12" spans="2:7" ht="15.75">
      <c r="B12" s="56"/>
      <c r="C12" s="56"/>
      <c r="D12" s="56"/>
      <c r="E12" s="56"/>
      <c r="F12" s="56"/>
      <c r="G12" s="56"/>
    </row>
    <row r="13" spans="2:7" ht="15.75">
      <c r="B13" s="56"/>
      <c r="C13" s="56"/>
      <c r="D13" s="56"/>
      <c r="E13" s="56"/>
      <c r="F13" s="56"/>
      <c r="G13" s="56"/>
    </row>
    <row r="14" spans="2:7" ht="15.75">
      <c r="B14" s="56"/>
      <c r="D14" s="56"/>
      <c r="E14" s="56"/>
      <c r="F14" s="56"/>
      <c r="G14" s="56"/>
    </row>
    <row r="15" spans="2:7" ht="15.75">
      <c r="B15" s="56"/>
      <c r="C15" s="56" t="s">
        <v>638</v>
      </c>
      <c r="D15" s="46"/>
      <c r="E15" s="46"/>
      <c r="F15" s="46"/>
      <c r="G15" s="100"/>
    </row>
    <row r="16" spans="1:7" ht="15">
      <c r="A16" s="61">
        <v>1</v>
      </c>
      <c r="B16" s="1077" t="s">
        <v>146</v>
      </c>
      <c r="C16" s="1078" t="s">
        <v>800</v>
      </c>
      <c r="D16" s="1079">
        <v>0</v>
      </c>
      <c r="E16" s="71"/>
      <c r="F16" s="71"/>
      <c r="G16" s="45"/>
    </row>
    <row r="17" spans="1:7" ht="15">
      <c r="A17" s="61">
        <v>2</v>
      </c>
      <c r="B17" s="1077" t="s">
        <v>146</v>
      </c>
      <c r="C17" s="1078" t="s">
        <v>146</v>
      </c>
      <c r="D17" s="1079">
        <v>0</v>
      </c>
      <c r="E17" s="71"/>
      <c r="F17" s="71"/>
      <c r="G17" s="45"/>
    </row>
    <row r="18" spans="1:7" ht="15">
      <c r="A18" s="61">
        <v>3</v>
      </c>
      <c r="B18" s="1077"/>
      <c r="C18" s="1078"/>
      <c r="D18" s="1079"/>
      <c r="E18" s="71"/>
      <c r="F18" s="71"/>
      <c r="G18" s="45"/>
    </row>
    <row r="19" spans="1:7" ht="15.75">
      <c r="A19" s="61">
        <v>4</v>
      </c>
      <c r="B19" s="56"/>
      <c r="C19" s="282" t="s">
        <v>150</v>
      </c>
      <c r="D19" s="395">
        <f>SUM(D16:D17)</f>
        <v>0</v>
      </c>
      <c r="E19" s="71"/>
      <c r="F19" s="71"/>
      <c r="G19" s="56"/>
    </row>
    <row r="20" spans="2:7" ht="15.75">
      <c r="B20" s="56"/>
      <c r="C20" s="282"/>
      <c r="D20" s="298"/>
      <c r="E20" s="46"/>
      <c r="F20" s="46"/>
      <c r="G20" s="56"/>
    </row>
    <row r="21" spans="1:7" ht="15.75">
      <c r="A21" s="10"/>
      <c r="B21" s="56"/>
      <c r="C21" s="56" t="s">
        <v>75</v>
      </c>
      <c r="D21" s="382"/>
      <c r="E21" s="46"/>
      <c r="F21" s="46"/>
      <c r="G21" s="56"/>
    </row>
    <row r="22" spans="1:7" ht="15.75">
      <c r="A22" s="55">
        <f>+A19+1</f>
        <v>5</v>
      </c>
      <c r="B22" s="383" t="s">
        <v>76</v>
      </c>
      <c r="C22" s="383" t="s">
        <v>77</v>
      </c>
      <c r="D22" s="1080">
        <v>0</v>
      </c>
      <c r="E22" s="46"/>
      <c r="F22" s="46"/>
      <c r="G22" s="56"/>
    </row>
    <row r="23" spans="1:7" ht="15.75">
      <c r="A23" s="384">
        <f>+A22+1</f>
        <v>6</v>
      </c>
      <c r="B23" s="385" t="s">
        <v>78</v>
      </c>
      <c r="C23" s="385" t="s">
        <v>79</v>
      </c>
      <c r="D23" s="1080">
        <v>1085005</v>
      </c>
      <c r="E23" s="46"/>
      <c r="F23" s="46"/>
      <c r="G23" s="56"/>
    </row>
    <row r="24" spans="1:7" ht="15.75">
      <c r="A24" s="55">
        <f>+A23+1</f>
        <v>7</v>
      </c>
      <c r="B24" s="383" t="s">
        <v>80</v>
      </c>
      <c r="C24" s="383" t="s">
        <v>81</v>
      </c>
      <c r="D24" s="1080">
        <v>0</v>
      </c>
      <c r="E24" s="46"/>
      <c r="F24" s="46"/>
      <c r="G24" s="56"/>
    </row>
    <row r="25" spans="1:7" ht="15.75">
      <c r="A25" s="384">
        <f aca="true" t="shared" si="0" ref="A25:A30">+A24+1</f>
        <v>8</v>
      </c>
      <c r="B25" s="385" t="s">
        <v>82</v>
      </c>
      <c r="C25" s="385" t="s">
        <v>83</v>
      </c>
      <c r="D25" s="1081">
        <v>0</v>
      </c>
      <c r="E25" s="46"/>
      <c r="F25" s="46"/>
      <c r="G25" s="56"/>
    </row>
    <row r="26" spans="1:7" ht="15.75">
      <c r="A26" s="55">
        <f t="shared" si="0"/>
        <v>9</v>
      </c>
      <c r="B26" s="383" t="s">
        <v>84</v>
      </c>
      <c r="C26" s="383" t="s">
        <v>85</v>
      </c>
      <c r="D26" s="1080">
        <f>141059+1215575</f>
        <v>1356634</v>
      </c>
      <c r="E26" s="46"/>
      <c r="F26" s="46"/>
      <c r="G26" s="56"/>
    </row>
    <row r="27" spans="1:7" ht="15.75">
      <c r="A27" s="384">
        <f t="shared" si="0"/>
        <v>10</v>
      </c>
      <c r="B27" s="385" t="s">
        <v>86</v>
      </c>
      <c r="C27" s="385" t="s">
        <v>87</v>
      </c>
      <c r="D27" s="1080">
        <v>0</v>
      </c>
      <c r="E27" s="46"/>
      <c r="F27" s="46"/>
      <c r="G27" s="56"/>
    </row>
    <row r="28" spans="1:7" ht="15.75">
      <c r="A28" s="55">
        <f t="shared" si="0"/>
        <v>11</v>
      </c>
      <c r="B28" s="383" t="s">
        <v>88</v>
      </c>
      <c r="C28" s="383" t="s">
        <v>89</v>
      </c>
      <c r="D28" s="1080">
        <v>0</v>
      </c>
      <c r="E28" s="46"/>
      <c r="F28" s="46"/>
      <c r="G28" s="56"/>
    </row>
    <row r="29" spans="1:7" ht="15.75">
      <c r="A29" s="384">
        <f t="shared" si="0"/>
        <v>12</v>
      </c>
      <c r="B29" s="385" t="s">
        <v>90</v>
      </c>
      <c r="C29" s="385" t="s">
        <v>91</v>
      </c>
      <c r="D29" s="1080">
        <v>0</v>
      </c>
      <c r="E29" s="46"/>
      <c r="F29" s="46"/>
      <c r="G29" s="56"/>
    </row>
    <row r="30" spans="1:7" ht="15.75">
      <c r="A30" s="55">
        <f t="shared" si="0"/>
        <v>13</v>
      </c>
      <c r="B30" s="383" t="s">
        <v>92</v>
      </c>
      <c r="C30" s="383" t="s">
        <v>93</v>
      </c>
      <c r="D30" s="1080">
        <f>34248+310577</f>
        <v>344825</v>
      </c>
      <c r="E30" s="46"/>
      <c r="F30" s="46"/>
      <c r="G30" s="56"/>
    </row>
    <row r="31" spans="1:7" ht="15.75">
      <c r="A31" s="61">
        <f>+A30+1</f>
        <v>14</v>
      </c>
      <c r="B31" s="352"/>
      <c r="C31" s="38" t="s">
        <v>94</v>
      </c>
      <c r="D31" s="353">
        <f>SUM(D22:D30)</f>
        <v>2786464</v>
      </c>
      <c r="E31" s="46"/>
      <c r="F31" s="46"/>
      <c r="G31" s="56"/>
    </row>
    <row r="32" spans="1:7" ht="15.75">
      <c r="A32" s="278"/>
      <c r="B32" s="70"/>
      <c r="C32" s="56"/>
      <c r="D32" s="56"/>
      <c r="E32" s="56"/>
      <c r="F32" s="56"/>
      <c r="G32" s="56"/>
    </row>
    <row r="33" spans="1:7" ht="15.75">
      <c r="A33" s="278"/>
      <c r="B33" s="55"/>
      <c r="C33" s="121" t="s">
        <v>278</v>
      </c>
      <c r="D33" s="48"/>
      <c r="E33" s="48"/>
      <c r="F33" s="48"/>
      <c r="G33" s="48"/>
    </row>
    <row r="34" spans="1:7" ht="15">
      <c r="A34" s="61">
        <f>+A31+1</f>
        <v>15</v>
      </c>
      <c r="B34" s="1082" t="s">
        <v>225</v>
      </c>
      <c r="C34" s="1078" t="s">
        <v>294</v>
      </c>
      <c r="D34" s="1079">
        <v>0</v>
      </c>
      <c r="E34" s="46">
        <f>D34</f>
        <v>0</v>
      </c>
      <c r="F34" s="46">
        <v>0</v>
      </c>
      <c r="G34" s="45" t="s">
        <v>146</v>
      </c>
    </row>
    <row r="35" spans="1:7" ht="15">
      <c r="A35" s="61">
        <f>+A34+1</f>
        <v>16</v>
      </c>
      <c r="B35" s="1083" t="s">
        <v>250</v>
      </c>
      <c r="C35" s="1078" t="s">
        <v>295</v>
      </c>
      <c r="D35" s="1079">
        <v>0</v>
      </c>
      <c r="E35" s="46">
        <f>D35</f>
        <v>0</v>
      </c>
      <c r="F35" s="46">
        <v>0</v>
      </c>
      <c r="G35" s="45" t="s">
        <v>146</v>
      </c>
    </row>
    <row r="36" spans="1:7" ht="15">
      <c r="A36" s="61">
        <f>+A35+1</f>
        <v>17</v>
      </c>
      <c r="B36" s="1083" t="s">
        <v>226</v>
      </c>
      <c r="C36" s="1078" t="s">
        <v>296</v>
      </c>
      <c r="D36" s="1079">
        <v>0</v>
      </c>
      <c r="E36" s="46">
        <f>D36</f>
        <v>0</v>
      </c>
      <c r="F36" s="46">
        <v>0</v>
      </c>
      <c r="G36" s="45" t="s">
        <v>146</v>
      </c>
    </row>
    <row r="37" spans="1:7" ht="15">
      <c r="A37" s="61">
        <f>+A36+1</f>
        <v>18</v>
      </c>
      <c r="B37" s="1083" t="s">
        <v>486</v>
      </c>
      <c r="C37" s="1078" t="s">
        <v>487</v>
      </c>
      <c r="D37" s="1079">
        <v>0</v>
      </c>
      <c r="E37" s="46">
        <f>D37</f>
        <v>0</v>
      </c>
      <c r="F37" s="46"/>
      <c r="G37" s="45" t="s">
        <v>146</v>
      </c>
    </row>
    <row r="38" spans="2:7" ht="12.75" customHeight="1">
      <c r="B38" s="47" t="s">
        <v>146</v>
      </c>
      <c r="C38" s="66"/>
      <c r="D38" s="49"/>
      <c r="E38" s="50"/>
      <c r="F38" s="51"/>
      <c r="G38" s="48"/>
    </row>
    <row r="39" spans="1:7" ht="15.75" customHeight="1">
      <c r="A39" s="61">
        <f>+A37+1</f>
        <v>19</v>
      </c>
      <c r="B39" s="53"/>
      <c r="C39" s="282" t="s">
        <v>150</v>
      </c>
      <c r="D39" s="64">
        <f>SUM(D34:D37)</f>
        <v>0</v>
      </c>
      <c r="E39" s="64">
        <f>SUM(E34:E37)</f>
        <v>0</v>
      </c>
      <c r="F39" s="64">
        <f>SUM(F34:F37)</f>
        <v>0</v>
      </c>
      <c r="G39" s="31"/>
    </row>
    <row r="40" spans="2:7" ht="12.75" customHeight="1">
      <c r="B40" s="53"/>
      <c r="C40" s="54"/>
      <c r="D40" s="69"/>
      <c r="E40" s="34"/>
      <c r="F40" s="34"/>
      <c r="G40" s="48"/>
    </row>
    <row r="41" spans="2:7" ht="15.75">
      <c r="B41" s="55"/>
      <c r="C41" s="121" t="s">
        <v>277</v>
      </c>
      <c r="D41" s="34"/>
      <c r="E41" s="34"/>
      <c r="F41" s="34"/>
      <c r="G41" s="48"/>
    </row>
    <row r="42" spans="1:19" ht="15">
      <c r="A42" s="61">
        <f>+A39+1</f>
        <v>20</v>
      </c>
      <c r="B42" s="1083" t="s">
        <v>297</v>
      </c>
      <c r="C42" s="1078" t="s">
        <v>298</v>
      </c>
      <c r="D42" s="1079">
        <v>46676</v>
      </c>
      <c r="E42" s="46">
        <f>+D42</f>
        <v>46676</v>
      </c>
      <c r="F42" s="46">
        <v>0</v>
      </c>
      <c r="G42"/>
      <c r="M42" s="30"/>
      <c r="N42" s="67"/>
      <c r="O42" s="68"/>
      <c r="P42" s="68"/>
      <c r="Q42" s="68"/>
      <c r="R42" s="68"/>
      <c r="S42" s="32"/>
    </row>
    <row r="43" spans="1:19" ht="15">
      <c r="A43" s="61">
        <f aca="true" t="shared" si="1" ref="A43:A51">+A42+1</f>
        <v>21</v>
      </c>
      <c r="B43" s="1083" t="s">
        <v>215</v>
      </c>
      <c r="C43" s="1078" t="s">
        <v>216</v>
      </c>
      <c r="D43" s="1079">
        <v>0</v>
      </c>
      <c r="E43" s="46">
        <f aca="true" t="shared" si="2" ref="E43:E51">+D43</f>
        <v>0</v>
      </c>
      <c r="F43" s="46">
        <v>0</v>
      </c>
      <c r="G43"/>
      <c r="M43" s="30"/>
      <c r="N43" s="67"/>
      <c r="O43" s="68"/>
      <c r="P43" s="68"/>
      <c r="Q43" s="68"/>
      <c r="R43" s="68"/>
      <c r="S43" s="32"/>
    </row>
    <row r="44" spans="1:19" ht="15">
      <c r="A44" s="61">
        <f t="shared" si="1"/>
        <v>22</v>
      </c>
      <c r="B44" s="1083" t="s">
        <v>299</v>
      </c>
      <c r="C44" s="1078" t="s">
        <v>300</v>
      </c>
      <c r="D44" s="1079">
        <v>0</v>
      </c>
      <c r="E44" s="46">
        <f t="shared" si="2"/>
        <v>0</v>
      </c>
      <c r="F44" s="46">
        <v>0</v>
      </c>
      <c r="G44"/>
      <c r="M44" s="30"/>
      <c r="N44" s="67"/>
      <c r="O44" s="68"/>
      <c r="P44" s="68"/>
      <c r="Q44" s="68"/>
      <c r="R44" s="68"/>
      <c r="S44" s="32"/>
    </row>
    <row r="45" spans="1:19" ht="15">
      <c r="A45" s="61">
        <f t="shared" si="1"/>
        <v>23</v>
      </c>
      <c r="B45" s="1083" t="s">
        <v>301</v>
      </c>
      <c r="C45" s="1078" t="s">
        <v>302</v>
      </c>
      <c r="D45" s="1079">
        <v>0</v>
      </c>
      <c r="E45" s="46">
        <f t="shared" si="2"/>
        <v>0</v>
      </c>
      <c r="F45" s="46">
        <v>0</v>
      </c>
      <c r="G45"/>
      <c r="M45" s="30"/>
      <c r="N45" s="67"/>
      <c r="O45" s="68"/>
      <c r="P45" s="68"/>
      <c r="Q45" s="68"/>
      <c r="R45" s="68"/>
      <c r="S45" s="32"/>
    </row>
    <row r="46" spans="1:19" ht="15">
      <c r="A46" s="61">
        <f t="shared" si="1"/>
        <v>24</v>
      </c>
      <c r="B46" s="1083" t="s">
        <v>217</v>
      </c>
      <c r="C46" s="1078" t="s">
        <v>218</v>
      </c>
      <c r="D46" s="1079">
        <v>0</v>
      </c>
      <c r="E46" s="46">
        <f t="shared" si="2"/>
        <v>0</v>
      </c>
      <c r="F46" s="46">
        <v>0</v>
      </c>
      <c r="G46"/>
      <c r="M46" s="30"/>
      <c r="N46" s="67"/>
      <c r="O46" s="68"/>
      <c r="P46" s="68"/>
      <c r="Q46" s="68"/>
      <c r="R46" s="68"/>
      <c r="S46" s="32"/>
    </row>
    <row r="47" spans="1:19" ht="15">
      <c r="A47" s="61">
        <f t="shared" si="1"/>
        <v>25</v>
      </c>
      <c r="B47" s="1083" t="s">
        <v>219</v>
      </c>
      <c r="C47" s="1078" t="s">
        <v>220</v>
      </c>
      <c r="D47" s="1079">
        <v>0</v>
      </c>
      <c r="E47" s="46">
        <f>D47</f>
        <v>0</v>
      </c>
      <c r="F47" s="46"/>
      <c r="G47"/>
      <c r="M47" s="30"/>
      <c r="N47" s="67"/>
      <c r="O47" s="68"/>
      <c r="P47" s="68"/>
      <c r="Q47" s="68"/>
      <c r="R47" s="68"/>
      <c r="S47" s="32"/>
    </row>
    <row r="48" spans="1:19" ht="15">
      <c r="A48" s="61">
        <f t="shared" si="1"/>
        <v>26</v>
      </c>
      <c r="B48" s="1083" t="s">
        <v>227</v>
      </c>
      <c r="C48" s="1078" t="s">
        <v>228</v>
      </c>
      <c r="D48" s="1079">
        <v>0</v>
      </c>
      <c r="E48" s="46">
        <f t="shared" si="2"/>
        <v>0</v>
      </c>
      <c r="F48" s="52">
        <v>0</v>
      </c>
      <c r="G48"/>
      <c r="M48" s="30"/>
      <c r="N48" s="67"/>
      <c r="O48" s="68"/>
      <c r="P48" s="68"/>
      <c r="Q48" s="68"/>
      <c r="R48" s="68"/>
      <c r="S48" s="32"/>
    </row>
    <row r="49" spans="1:7" ht="15">
      <c r="A49" s="61">
        <f t="shared" si="1"/>
        <v>27</v>
      </c>
      <c r="B49" s="1083" t="s">
        <v>251</v>
      </c>
      <c r="C49" s="1078" t="s">
        <v>252</v>
      </c>
      <c r="D49" s="1079">
        <v>0</v>
      </c>
      <c r="E49" s="46">
        <f t="shared" si="2"/>
        <v>0</v>
      </c>
      <c r="F49" s="52">
        <v>0</v>
      </c>
      <c r="G49"/>
    </row>
    <row r="50" spans="1:7" ht="15">
      <c r="A50" s="61">
        <f t="shared" si="1"/>
        <v>28</v>
      </c>
      <c r="B50" s="1083" t="s">
        <v>221</v>
      </c>
      <c r="C50" s="1078" t="s">
        <v>222</v>
      </c>
      <c r="D50" s="1079">
        <v>0</v>
      </c>
      <c r="E50" s="46">
        <f t="shared" si="2"/>
        <v>0</v>
      </c>
      <c r="F50" s="52">
        <v>0</v>
      </c>
      <c r="G50" s="48"/>
    </row>
    <row r="51" spans="1:7" ht="15">
      <c r="A51" s="61">
        <f t="shared" si="1"/>
        <v>29</v>
      </c>
      <c r="B51" s="1083" t="s">
        <v>223</v>
      </c>
      <c r="C51" s="1078" t="s">
        <v>224</v>
      </c>
      <c r="D51" s="1079">
        <v>0</v>
      </c>
      <c r="E51" s="46">
        <f t="shared" si="2"/>
        <v>0</v>
      </c>
      <c r="F51" s="52">
        <v>0</v>
      </c>
      <c r="G51" s="48"/>
    </row>
    <row r="52" spans="2:7" ht="15">
      <c r="B52" s="47"/>
      <c r="C52" s="48"/>
      <c r="D52" s="57"/>
      <c r="E52" s="58"/>
      <c r="F52" s="57"/>
      <c r="G52" s="48"/>
    </row>
    <row r="53" spans="1:7" ht="15.75">
      <c r="A53" s="61">
        <f>A51+1</f>
        <v>30</v>
      </c>
      <c r="B53" s="53"/>
      <c r="C53" s="283" t="str">
        <f>C39</f>
        <v>Total</v>
      </c>
      <c r="D53" s="59">
        <f>SUM(D42:D52)</f>
        <v>46676</v>
      </c>
      <c r="E53" s="59">
        <f>SUM(E42:E52)</f>
        <v>46676</v>
      </c>
      <c r="F53" s="59">
        <f>SUM(F42:F49)</f>
        <v>0</v>
      </c>
      <c r="G53" s="31"/>
    </row>
    <row r="54" spans="2:7" ht="12.75" customHeight="1">
      <c r="B54" s="40"/>
      <c r="C54" s="40"/>
      <c r="D54" s="40"/>
      <c r="E54" s="40"/>
      <c r="F54" s="40"/>
      <c r="G54" s="40"/>
    </row>
    <row r="55" spans="2:7" ht="15.75">
      <c r="B55" s="38"/>
      <c r="C55" s="121" t="s">
        <v>276</v>
      </c>
      <c r="D55" s="60"/>
      <c r="E55" s="60"/>
      <c r="F55" s="60"/>
      <c r="G55" s="38"/>
    </row>
    <row r="56" spans="1:11" ht="15">
      <c r="A56" s="61">
        <f>+A53+1</f>
        <v>31</v>
      </c>
      <c r="B56" s="1083" t="s">
        <v>257</v>
      </c>
      <c r="C56" s="1078" t="s">
        <v>258</v>
      </c>
      <c r="D56" s="1079">
        <v>194098</v>
      </c>
      <c r="E56" s="45">
        <f>+D56</f>
        <v>194098</v>
      </c>
      <c r="F56" s="45"/>
      <c r="G56" s="30"/>
      <c r="H56" s="30"/>
      <c r="J56" s="32"/>
      <c r="K56" s="32"/>
    </row>
    <row r="57" spans="1:11" ht="15">
      <c r="A57" s="61">
        <f>+A56+1</f>
        <v>32</v>
      </c>
      <c r="B57" s="1083" t="s">
        <v>259</v>
      </c>
      <c r="C57" s="1078" t="s">
        <v>260</v>
      </c>
      <c r="D57" s="1079">
        <v>0</v>
      </c>
      <c r="E57" s="45">
        <f>+D57</f>
        <v>0</v>
      </c>
      <c r="F57" s="45"/>
      <c r="G57" s="30"/>
      <c r="H57" s="30"/>
      <c r="J57" s="32"/>
      <c r="K57" s="32"/>
    </row>
    <row r="58" spans="1:11" ht="15">
      <c r="A58" s="61">
        <f>+A57+1</f>
        <v>33</v>
      </c>
      <c r="B58" s="1083" t="s">
        <v>261</v>
      </c>
      <c r="C58" s="1078" t="s">
        <v>262</v>
      </c>
      <c r="D58" s="1079">
        <v>0</v>
      </c>
      <c r="E58" s="45">
        <f>+D58</f>
        <v>0</v>
      </c>
      <c r="F58" s="45"/>
      <c r="G58" s="30"/>
      <c r="H58" s="30"/>
      <c r="J58" s="32"/>
      <c r="K58" s="32"/>
    </row>
    <row r="59" spans="1:11" ht="15">
      <c r="A59" s="61">
        <f>A58+1</f>
        <v>34</v>
      </c>
      <c r="B59" s="1083" t="s">
        <v>407</v>
      </c>
      <c r="C59" s="1078" t="s">
        <v>408</v>
      </c>
      <c r="D59" s="1079">
        <v>0</v>
      </c>
      <c r="E59" s="45">
        <f>D59</f>
        <v>0</v>
      </c>
      <c r="F59" s="45">
        <v>0</v>
      </c>
      <c r="G59" s="30"/>
      <c r="H59" s="30"/>
      <c r="J59" s="32"/>
      <c r="K59" s="32"/>
    </row>
    <row r="60" spans="1:7" ht="15">
      <c r="A60" s="61">
        <f>+A59+1</f>
        <v>35</v>
      </c>
      <c r="B60" s="1083" t="s">
        <v>263</v>
      </c>
      <c r="C60" s="1078" t="s">
        <v>694</v>
      </c>
      <c r="D60" s="1079">
        <v>123921</v>
      </c>
      <c r="E60" s="70">
        <f>D60-F60</f>
        <v>99179</v>
      </c>
      <c r="F60" s="45">
        <v>24742</v>
      </c>
      <c r="G60" s="40"/>
    </row>
    <row r="61" spans="1:7" ht="15">
      <c r="A61" s="61">
        <f>+A60+1</f>
        <v>36</v>
      </c>
      <c r="B61" s="1084">
        <v>9302458</v>
      </c>
      <c r="C61" s="1078" t="s">
        <v>695</v>
      </c>
      <c r="D61" s="1170">
        <v>0</v>
      </c>
      <c r="E61" s="402">
        <f>+D61</f>
        <v>0</v>
      </c>
      <c r="F61" s="397"/>
      <c r="G61" s="40"/>
    </row>
    <row r="62" spans="2:7" ht="15">
      <c r="B62" s="396"/>
      <c r="C62" s="400"/>
      <c r="D62" s="401"/>
      <c r="E62" s="398"/>
      <c r="F62" s="398"/>
      <c r="G62" s="40"/>
    </row>
    <row r="63" spans="1:7" ht="15.75">
      <c r="A63" s="61">
        <f>+A61+1</f>
        <v>37</v>
      </c>
      <c r="B63" s="40"/>
      <c r="C63" s="283" t="s">
        <v>150</v>
      </c>
      <c r="D63" s="399">
        <f>SUM(D56:D61)</f>
        <v>318019</v>
      </c>
      <c r="E63" s="399">
        <f>SUM(E56:E61)</f>
        <v>293277</v>
      </c>
      <c r="F63" s="399">
        <f>SUM(F56:F61)</f>
        <v>24742</v>
      </c>
      <c r="G63" s="31"/>
    </row>
    <row r="64" spans="2:7" ht="15">
      <c r="B64" s="99"/>
      <c r="C64" s="22"/>
      <c r="D64" s="388"/>
      <c r="E64" s="22"/>
      <c r="F64" s="22"/>
      <c r="G64" s="22"/>
    </row>
    <row r="65" spans="1:6" ht="12.75">
      <c r="A65"/>
      <c r="B65"/>
      <c r="C65"/>
      <c r="D65"/>
      <c r="E65"/>
      <c r="F65"/>
    </row>
    <row r="66" spans="1:6" ht="12.75">
      <c r="A66"/>
      <c r="B66"/>
      <c r="C66"/>
      <c r="D66"/>
      <c r="E66"/>
      <c r="F66"/>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O244"/>
  <sheetViews>
    <sheetView zoomScaleSheetLayoutView="100" zoomScalePageLayoutView="0" workbookViewId="0" topLeftCell="A1">
      <selection activeCell="E26" sqref="E26"/>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3" t="s">
        <v>491</v>
      </c>
      <c r="B1" s="1203"/>
      <c r="C1" s="1203"/>
      <c r="D1" s="1203"/>
      <c r="E1" s="1203"/>
      <c r="F1" s="1203"/>
      <c r="G1" s="1203"/>
      <c r="H1" s="1203"/>
    </row>
    <row r="2" spans="1:8" ht="15">
      <c r="A2" s="1202" t="str">
        <f>"Cost of Service Formula Rate Using Actual/Projected FF1 Balances"</f>
        <v>Cost of Service Formula Rate Using Actual/Projected FF1 Balances</v>
      </c>
      <c r="B2" s="1202"/>
      <c r="C2" s="1202"/>
      <c r="D2" s="1202"/>
      <c r="E2" s="1202"/>
      <c r="F2" s="1202"/>
      <c r="G2" s="1202"/>
      <c r="H2" s="1202"/>
    </row>
    <row r="3" spans="1:8" ht="15">
      <c r="A3" s="1202" t="s">
        <v>686</v>
      </c>
      <c r="B3" s="1202"/>
      <c r="C3" s="1202"/>
      <c r="D3" s="1202"/>
      <c r="E3" s="1202"/>
      <c r="F3" s="1202"/>
      <c r="G3" s="1202"/>
      <c r="H3" s="1202"/>
    </row>
    <row r="4" spans="1:7" ht="15">
      <c r="A4" s="1206" t="str">
        <f>+'KP WS A  - RB Support '!A4:F4</f>
        <v>KENTUCKY POWER COMPANY</v>
      </c>
      <c r="B4" s="1206"/>
      <c r="C4" s="1206"/>
      <c r="D4" s="1206"/>
      <c r="E4" s="1206"/>
      <c r="F4" s="1206"/>
      <c r="G4" s="1206"/>
    </row>
    <row r="5" spans="1:15" ht="12.75" customHeight="1">
      <c r="A5" s="20"/>
      <c r="B5" s="25"/>
      <c r="C5" s="25"/>
      <c r="D5" s="25"/>
      <c r="E5" s="25"/>
      <c r="F5" s="25"/>
      <c r="G5" s="25"/>
      <c r="H5" s="25"/>
      <c r="I5" s="25"/>
      <c r="J5" s="25"/>
      <c r="O5" s="16"/>
    </row>
    <row r="6" spans="1:6" ht="12.75" customHeight="1">
      <c r="A6" s="20"/>
      <c r="B6" s="41"/>
      <c r="C6" s="2"/>
      <c r="D6" s="2"/>
      <c r="E6" s="2"/>
      <c r="F6" s="2"/>
    </row>
    <row r="7" spans="1:12" ht="18">
      <c r="A7" s="26"/>
      <c r="B7" s="18" t="s">
        <v>801</v>
      </c>
      <c r="C7" s="39"/>
      <c r="D7" s="42"/>
      <c r="E7" s="1085">
        <v>0.06</v>
      </c>
      <c r="F7" s="2"/>
      <c r="G7" s="24"/>
      <c r="H7" s="24"/>
      <c r="L7" s="23"/>
    </row>
    <row r="8" spans="1:12" ht="15">
      <c r="A8" s="23"/>
      <c r="B8" s="18" t="s">
        <v>620</v>
      </c>
      <c r="C8" s="39"/>
      <c r="D8" s="39"/>
      <c r="E8" s="1086">
        <v>0.7206</v>
      </c>
      <c r="F8" s="2"/>
      <c r="G8" s="24"/>
      <c r="H8" s="24"/>
      <c r="L8" s="23"/>
    </row>
    <row r="9" spans="1:12" ht="15">
      <c r="A9" s="23"/>
      <c r="B9" s="18" t="s">
        <v>574</v>
      </c>
      <c r="C9" s="39"/>
      <c r="D9" s="39"/>
      <c r="E9" s="408"/>
      <c r="F9" s="43">
        <f>ROUND(E7*E8,4)</f>
        <v>0.0432</v>
      </c>
      <c r="G9" s="24"/>
      <c r="L9" s="23"/>
    </row>
    <row r="10" spans="1:12" ht="15">
      <c r="A10" s="23"/>
      <c r="B10" s="18"/>
      <c r="C10" s="39"/>
      <c r="D10" s="39"/>
      <c r="E10" s="408"/>
      <c r="F10" s="43"/>
      <c r="G10" s="24"/>
      <c r="L10" s="23"/>
    </row>
    <row r="11" spans="1:12" ht="15">
      <c r="A11" s="23"/>
      <c r="B11" s="18" t="s">
        <v>772</v>
      </c>
      <c r="C11" s="39"/>
      <c r="D11" s="42"/>
      <c r="E11" s="1085">
        <v>0.065</v>
      </c>
      <c r="F11" s="2"/>
      <c r="G11" s="24"/>
      <c r="L11" s="23"/>
    </row>
    <row r="12" spans="1:12" ht="15">
      <c r="A12" s="23"/>
      <c r="B12" s="18" t="s">
        <v>620</v>
      </c>
      <c r="C12" s="39"/>
      <c r="D12" s="39"/>
      <c r="E12" s="1086">
        <v>0.2162</v>
      </c>
      <c r="F12" s="2"/>
      <c r="G12" s="24"/>
      <c r="L12" s="23"/>
    </row>
    <row r="13" spans="1:12" ht="15">
      <c r="A13" s="23"/>
      <c r="B13" s="18" t="s">
        <v>574</v>
      </c>
      <c r="C13" s="39"/>
      <c r="D13" s="39"/>
      <c r="E13" s="408"/>
      <c r="F13" s="43">
        <f>ROUND(E11*E12,4)</f>
        <v>0.0141</v>
      </c>
      <c r="G13" s="24"/>
      <c r="L13" s="23"/>
    </row>
    <row r="14" spans="1:12" ht="15">
      <c r="A14" s="23"/>
      <c r="B14" s="18"/>
      <c r="C14" s="39"/>
      <c r="D14" s="39"/>
      <c r="E14" s="408"/>
      <c r="F14" s="43"/>
      <c r="G14" s="24"/>
      <c r="L14" s="23"/>
    </row>
    <row r="15" spans="1:12" ht="15">
      <c r="A15" s="23"/>
      <c r="B15" s="18" t="s">
        <v>773</v>
      </c>
      <c r="C15" s="39"/>
      <c r="D15" s="42"/>
      <c r="E15" s="1085">
        <v>0.06</v>
      </c>
      <c r="F15" s="2"/>
      <c r="G15" s="24"/>
      <c r="L15" s="23"/>
    </row>
    <row r="16" spans="1:12" ht="15">
      <c r="A16" s="23"/>
      <c r="B16" s="18" t="s">
        <v>620</v>
      </c>
      <c r="C16" s="39"/>
      <c r="D16" s="39"/>
      <c r="E16" s="1086">
        <v>0.000836</v>
      </c>
      <c r="F16" s="2"/>
      <c r="G16" s="24"/>
      <c r="L16" s="23"/>
    </row>
    <row r="17" spans="1:12" ht="15">
      <c r="A17" s="23"/>
      <c r="B17" s="18" t="s">
        <v>574</v>
      </c>
      <c r="C17" s="39"/>
      <c r="D17" s="39"/>
      <c r="E17" s="408"/>
      <c r="F17" s="43">
        <f>ROUND(E15*E16,4)</f>
        <v>0.0001</v>
      </c>
      <c r="G17" s="24"/>
      <c r="L17" s="23"/>
    </row>
    <row r="18" spans="1:12" ht="15">
      <c r="A18" s="23"/>
      <c r="B18" s="18"/>
      <c r="C18" s="39"/>
      <c r="D18" s="39"/>
      <c r="E18" s="408"/>
      <c r="F18" s="43"/>
      <c r="G18" s="24"/>
      <c r="L18" s="23"/>
    </row>
    <row r="19" spans="1:12" ht="15">
      <c r="A19" s="23"/>
      <c r="B19" s="18" t="s">
        <v>802</v>
      </c>
      <c r="C19" s="39"/>
      <c r="D19" s="42"/>
      <c r="E19" s="1085">
        <v>0</v>
      </c>
      <c r="F19" s="44"/>
      <c r="G19" s="24"/>
      <c r="L19" s="23"/>
    </row>
    <row r="20" spans="1:12" ht="15">
      <c r="A20" s="23"/>
      <c r="B20" s="18" t="s">
        <v>621</v>
      </c>
      <c r="C20" s="39"/>
      <c r="D20" s="42"/>
      <c r="E20" s="1085">
        <v>0</v>
      </c>
      <c r="F20" s="44"/>
      <c r="G20" s="24"/>
      <c r="L20" s="23"/>
    </row>
    <row r="21" spans="1:12" ht="15">
      <c r="A21" s="23"/>
      <c r="B21" s="18" t="s">
        <v>620</v>
      </c>
      <c r="C21" s="39"/>
      <c r="D21" s="39"/>
      <c r="E21" s="1086">
        <v>0</v>
      </c>
      <c r="F21" s="44"/>
      <c r="G21" s="24"/>
      <c r="L21" s="23"/>
    </row>
    <row r="22" spans="1:12" ht="15">
      <c r="A22" s="23"/>
      <c r="B22" s="18" t="s">
        <v>574</v>
      </c>
      <c r="C22" s="39"/>
      <c r="D22" s="39"/>
      <c r="E22" s="408"/>
      <c r="F22" s="43">
        <f>+E19*E20*E21</f>
        <v>0</v>
      </c>
      <c r="G22" s="24"/>
      <c r="L22" s="23"/>
    </row>
    <row r="23" spans="1:12" ht="15">
      <c r="A23" s="23"/>
      <c r="B23" s="18"/>
      <c r="C23" s="39"/>
      <c r="D23" s="39"/>
      <c r="E23" s="408"/>
      <c r="F23" s="43"/>
      <c r="G23" s="24"/>
      <c r="L23" s="23"/>
    </row>
    <row r="24" spans="1:12" ht="15">
      <c r="A24" s="23"/>
      <c r="B24" s="18" t="s">
        <v>687</v>
      </c>
      <c r="C24" s="39"/>
      <c r="D24" s="42"/>
      <c r="E24" s="1085">
        <v>0.0775</v>
      </c>
      <c r="F24" s="2"/>
      <c r="G24" s="24"/>
      <c r="L24" s="23"/>
    </row>
    <row r="25" spans="1:12" ht="15">
      <c r="A25" s="23"/>
      <c r="B25" s="18" t="s">
        <v>620</v>
      </c>
      <c r="C25" s="39"/>
      <c r="D25" s="39"/>
      <c r="E25" s="1086">
        <v>0.0181</v>
      </c>
      <c r="F25" s="2"/>
      <c r="G25" s="24"/>
      <c r="L25" s="23"/>
    </row>
    <row r="26" spans="1:12" ht="15">
      <c r="A26" s="23"/>
      <c r="B26" s="18" t="s">
        <v>574</v>
      </c>
      <c r="C26" s="39"/>
      <c r="D26" s="39"/>
      <c r="E26" s="21"/>
      <c r="F26" s="43">
        <f>ROUND(E24*E25,4)</f>
        <v>0.0014</v>
      </c>
      <c r="G26" s="24"/>
      <c r="L26" s="23"/>
    </row>
    <row r="27" ht="12.75">
      <c r="B27" s="7"/>
    </row>
    <row r="28" spans="1:12" ht="15">
      <c r="A28" s="23"/>
      <c r="B28" s="18"/>
      <c r="C28" s="39"/>
      <c r="D28" s="39"/>
      <c r="E28" s="39"/>
      <c r="F28" s="44"/>
      <c r="G28" s="24"/>
      <c r="L28" s="23"/>
    </row>
    <row r="29" spans="1:12" ht="15.75" thickBot="1">
      <c r="A29" s="23"/>
      <c r="B29" s="21" t="s">
        <v>254</v>
      </c>
      <c r="C29" s="21"/>
      <c r="D29" s="21"/>
      <c r="E29" s="21"/>
      <c r="F29" s="161">
        <f>ROUND(SUM(F9:F28),4)</f>
        <v>0.0588</v>
      </c>
      <c r="G29" s="24"/>
      <c r="L29" s="23"/>
    </row>
    <row r="30" spans="1:12" ht="13.5" thickTop="1">
      <c r="A30" s="23"/>
      <c r="G30" s="22"/>
      <c r="L30" s="23"/>
    </row>
    <row r="31" spans="1:12" ht="12.75">
      <c r="A31" s="23"/>
      <c r="G31" s="22"/>
      <c r="H31" s="22"/>
      <c r="L31" s="23"/>
    </row>
    <row r="32" spans="1:12" ht="12.75">
      <c r="A32" s="23"/>
      <c r="G32" s="22"/>
      <c r="H32" s="22"/>
      <c r="L32" s="23"/>
    </row>
    <row r="33" spans="1:12" ht="12.75" customHeight="1">
      <c r="A33" s="23"/>
      <c r="C33" s="21"/>
      <c r="D33" s="21"/>
      <c r="E33" s="21"/>
      <c r="F33" s="21"/>
      <c r="G33" s="22"/>
      <c r="H33" s="22"/>
      <c r="L33" s="23"/>
    </row>
    <row r="34" spans="1:12" ht="21.75" customHeight="1">
      <c r="A34" s="2" t="s">
        <v>641</v>
      </c>
      <c r="B34" s="1221" t="s">
        <v>208</v>
      </c>
      <c r="C34" s="1221"/>
      <c r="D34" s="1221"/>
      <c r="E34" s="1221"/>
      <c r="F34" s="1221"/>
      <c r="G34" s="1221"/>
      <c r="H34" s="22"/>
      <c r="I34" s="20"/>
      <c r="L34" s="22"/>
    </row>
    <row r="35" spans="1:12" ht="12.75" customHeight="1">
      <c r="A35" s="22"/>
      <c r="B35" s="1221"/>
      <c r="C35" s="1221"/>
      <c r="D35" s="1221"/>
      <c r="E35" s="1221"/>
      <c r="F35" s="1221"/>
      <c r="G35" s="1221"/>
      <c r="H35" s="22"/>
      <c r="L35" s="22"/>
    </row>
    <row r="36" spans="1:12" ht="17.25" customHeight="1">
      <c r="A36" s="22"/>
      <c r="B36" s="1221"/>
      <c r="C36" s="1221"/>
      <c r="D36" s="1221"/>
      <c r="E36" s="1221"/>
      <c r="F36" s="1221"/>
      <c r="G36" s="1221"/>
      <c r="H36" s="22"/>
      <c r="I36" s="22"/>
      <c r="L36" s="22"/>
    </row>
    <row r="37" spans="1:12" ht="18" customHeight="1">
      <c r="A37" s="6" t="s">
        <v>105</v>
      </c>
      <c r="B37" s="6" t="s">
        <v>106</v>
      </c>
      <c r="C37" s="6"/>
      <c r="D37" s="6"/>
      <c r="E37" s="6"/>
      <c r="F37" s="6"/>
      <c r="G37" s="6"/>
      <c r="H37" s="22"/>
      <c r="I37" s="22"/>
      <c r="L37" s="22"/>
    </row>
    <row r="244" ht="12.75">
      <c r="B244" t="s">
        <v>321</v>
      </c>
    </row>
  </sheetData>
  <sheetProtection password="CA99" sheet="1" objects="1" scenarios="1"/>
  <mergeCells count="5">
    <mergeCell ref="B34:G36"/>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18"/>
  <sheetViews>
    <sheetView zoomScale="60" zoomScaleNormal="60" zoomScalePageLayoutView="0" workbookViewId="0" topLeftCell="A31">
      <selection activeCell="K62" sqref="K62"/>
    </sheetView>
  </sheetViews>
  <sheetFormatPr defaultColWidth="9.140625" defaultRowHeight="12.75"/>
  <cols>
    <col min="1" max="1" width="7.28125" style="149" customWidth="1"/>
    <col min="2" max="2" width="1.7109375" style="150" customWidth="1"/>
    <col min="3" max="3" width="62.421875" style="150" customWidth="1"/>
    <col min="4" max="4" width="19.140625" style="150" customWidth="1"/>
    <col min="5" max="5" width="22.7109375" style="144" bestFit="1" customWidth="1"/>
    <col min="6" max="6" width="1.7109375" style="135" customWidth="1"/>
    <col min="7" max="7" width="20.00390625" style="135" bestFit="1" customWidth="1"/>
    <col min="8" max="8" width="1.7109375" style="135" customWidth="1"/>
    <col min="9" max="9" width="21.421875" style="135" customWidth="1"/>
    <col min="10" max="10" width="1.7109375" style="135" customWidth="1"/>
    <col min="11" max="11" width="19.421875" style="135" bestFit="1" customWidth="1"/>
    <col min="12" max="12" width="3.421875" style="135" customWidth="1"/>
    <col min="13" max="13" width="22.57421875" style="135" customWidth="1"/>
    <col min="14" max="14" width="1.28515625" style="135" customWidth="1"/>
    <col min="15" max="15" width="22.140625" style="272" customWidth="1"/>
    <col min="16" max="16384" width="9.140625" style="135" customWidth="1"/>
  </cols>
  <sheetData>
    <row r="1" spans="1:13" ht="18.75" customHeight="1">
      <c r="A1" s="1203" t="s">
        <v>491</v>
      </c>
      <c r="B1" s="1203"/>
      <c r="C1" s="1203"/>
      <c r="D1" s="1203"/>
      <c r="E1" s="1203"/>
      <c r="F1" s="1203"/>
      <c r="G1" s="1203"/>
      <c r="H1" s="1203"/>
      <c r="I1" s="1203"/>
      <c r="J1" s="1203"/>
      <c r="K1" s="1203"/>
      <c r="L1" s="1203"/>
      <c r="M1" s="1203"/>
    </row>
    <row r="2" spans="1:13" ht="18.75" customHeight="1">
      <c r="A2" s="1202" t="str">
        <f>"Cost of Service Formula Rate Using Actual/Projected FF1 Balances"</f>
        <v>Cost of Service Formula Rate Using Actual/Projected FF1 Balances</v>
      </c>
      <c r="B2" s="1202"/>
      <c r="C2" s="1202"/>
      <c r="D2" s="1202"/>
      <c r="E2" s="1202"/>
      <c r="F2" s="1202"/>
      <c r="G2" s="1202"/>
      <c r="H2" s="1202"/>
      <c r="I2" s="1202"/>
      <c r="J2" s="1202"/>
      <c r="K2" s="1202"/>
      <c r="L2" s="1202"/>
      <c r="M2" s="1202"/>
    </row>
    <row r="3" spans="1:13" ht="18.75" customHeight="1">
      <c r="A3" s="1202" t="s">
        <v>313</v>
      </c>
      <c r="B3" s="1202"/>
      <c r="C3" s="1202"/>
      <c r="D3" s="1202"/>
      <c r="E3" s="1202"/>
      <c r="F3" s="1202"/>
      <c r="G3" s="1202"/>
      <c r="H3" s="1202"/>
      <c r="I3" s="1202"/>
      <c r="J3" s="1202"/>
      <c r="K3" s="1202"/>
      <c r="L3" s="1202"/>
      <c r="M3" s="1202"/>
    </row>
    <row r="4" spans="1:13" ht="18" customHeight="1">
      <c r="A4" s="1223" t="str">
        <f>+'KP TCOS'!F7</f>
        <v>KENTUCKY POWER COMPANY</v>
      </c>
      <c r="B4" s="1223"/>
      <c r="C4" s="1223"/>
      <c r="D4" s="1223"/>
      <c r="E4" s="1223"/>
      <c r="F4" s="1223"/>
      <c r="G4" s="1223"/>
      <c r="H4" s="1223"/>
      <c r="I4" s="1223"/>
      <c r="J4" s="1223"/>
      <c r="K4" s="1223"/>
      <c r="L4" s="1223"/>
      <c r="M4" s="1223"/>
    </row>
    <row r="5" spans="1:13" ht="18" customHeight="1">
      <c r="A5" s="1206"/>
      <c r="B5" s="1206"/>
      <c r="C5" s="1206"/>
      <c r="D5" s="1206"/>
      <c r="E5" s="1206"/>
      <c r="F5" s="1206"/>
      <c r="G5" s="1206"/>
      <c r="H5" s="1206"/>
      <c r="I5" s="1206"/>
      <c r="J5" s="1206"/>
      <c r="K5" s="1206"/>
      <c r="L5" s="1206"/>
      <c r="M5" s="1206"/>
    </row>
    <row r="6" spans="1:13" ht="18" customHeight="1">
      <c r="A6" s="1220"/>
      <c r="B6" s="1220"/>
      <c r="C6" s="1220"/>
      <c r="D6" s="1220"/>
      <c r="E6" s="1220"/>
      <c r="F6" s="1220"/>
      <c r="G6" s="1220"/>
      <c r="H6" s="1220"/>
      <c r="I6" s="1220"/>
      <c r="J6" s="1220"/>
      <c r="K6" s="1220"/>
      <c r="L6" s="1220"/>
      <c r="M6" s="1220"/>
    </row>
    <row r="7" spans="1:13" ht="18" customHeight="1">
      <c r="A7" s="196"/>
      <c r="B7" s="196"/>
      <c r="C7" s="196"/>
      <c r="D7" s="196"/>
      <c r="E7" s="196"/>
      <c r="F7" s="196"/>
      <c r="G7" s="196"/>
      <c r="H7" s="196"/>
      <c r="I7" s="196"/>
      <c r="J7" s="196"/>
      <c r="K7" s="196"/>
      <c r="L7" s="196"/>
      <c r="M7" s="196"/>
    </row>
    <row r="8" spans="1:13" ht="19.5" customHeight="1">
      <c r="A8" s="137"/>
      <c r="B8" s="138"/>
      <c r="C8" s="38" t="s">
        <v>194</v>
      </c>
      <c r="E8" s="38" t="s">
        <v>195</v>
      </c>
      <c r="G8" s="38" t="s">
        <v>196</v>
      </c>
      <c r="I8" s="38" t="s">
        <v>197</v>
      </c>
      <c r="K8" s="38" t="s">
        <v>115</v>
      </c>
      <c r="M8" s="38" t="s">
        <v>116</v>
      </c>
    </row>
    <row r="9" spans="1:29" ht="18">
      <c r="A9" s="240"/>
      <c r="B9" s="241"/>
      <c r="C9" s="241"/>
      <c r="D9" s="241"/>
      <c r="E9"/>
      <c r="F9"/>
      <c r="G9"/>
      <c r="H9"/>
      <c r="I9"/>
      <c r="J9"/>
      <c r="K9"/>
      <c r="L9"/>
      <c r="M9"/>
      <c r="Q9" s="41"/>
      <c r="R9" s="41"/>
      <c r="S9" s="41"/>
      <c r="T9" s="41"/>
      <c r="U9" s="41"/>
      <c r="V9" s="41"/>
      <c r="W9" s="41"/>
      <c r="X9" s="41"/>
      <c r="Y9" s="41"/>
      <c r="Z9" s="41"/>
      <c r="AA9" s="41"/>
      <c r="AB9" s="41"/>
      <c r="AC9" s="41"/>
    </row>
    <row r="10" spans="1:13" ht="19.5">
      <c r="A10" s="240" t="s">
        <v>201</v>
      </c>
      <c r="B10" s="241"/>
      <c r="C10" s="241"/>
      <c r="D10" s="241"/>
      <c r="E10" s="242" t="s">
        <v>150</v>
      </c>
      <c r="F10" s="240"/>
      <c r="G10" s="240"/>
      <c r="H10" s="240"/>
      <c r="I10" s="240"/>
      <c r="J10" s="240"/>
      <c r="K10" s="143"/>
      <c r="L10" s="143"/>
      <c r="M10" s="243"/>
    </row>
    <row r="11" spans="1:13" ht="19.5">
      <c r="A11" s="244" t="s">
        <v>149</v>
      </c>
      <c r="B11" s="241"/>
      <c r="C11" s="244" t="s">
        <v>383</v>
      </c>
      <c r="D11" s="241"/>
      <c r="E11" s="245" t="s">
        <v>230</v>
      </c>
      <c r="F11" s="240"/>
      <c r="G11" s="244" t="s">
        <v>386</v>
      </c>
      <c r="H11" s="240"/>
      <c r="I11" s="244" t="s">
        <v>193</v>
      </c>
      <c r="J11" s="240"/>
      <c r="K11" s="246" t="s">
        <v>214</v>
      </c>
      <c r="L11" s="247"/>
      <c r="M11" s="246" t="s">
        <v>387</v>
      </c>
    </row>
    <row r="12" spans="1:12" ht="19.5">
      <c r="A12" s="139"/>
      <c r="B12" s="138"/>
      <c r="C12" s="134"/>
      <c r="D12" s="134"/>
      <c r="E12" s="134" t="s">
        <v>98</v>
      </c>
      <c r="F12" s="134"/>
      <c r="G12" s="134"/>
      <c r="H12" s="134"/>
      <c r="I12" s="134"/>
      <c r="J12" s="134"/>
      <c r="K12" s="133"/>
      <c r="L12" s="133"/>
    </row>
    <row r="13" spans="1:12" ht="19.5">
      <c r="A13" s="137"/>
      <c r="B13" s="138"/>
      <c r="C13" s="138"/>
      <c r="D13" s="138"/>
      <c r="E13" s="140"/>
      <c r="F13" s="136"/>
      <c r="G13" s="136"/>
      <c r="H13" s="136"/>
      <c r="I13" s="132"/>
      <c r="J13" s="136"/>
      <c r="K13" s="133"/>
      <c r="L13" s="133"/>
    </row>
    <row r="14" spans="1:13" ht="19.5">
      <c r="A14" s="137">
        <v>1</v>
      </c>
      <c r="B14" s="138"/>
      <c r="C14" s="141" t="s">
        <v>400</v>
      </c>
      <c r="D14" s="138"/>
      <c r="E14" s="133"/>
      <c r="F14" s="133"/>
      <c r="G14" s="160"/>
      <c r="H14" s="160"/>
      <c r="I14" s="160"/>
      <c r="J14" s="160"/>
      <c r="K14" s="160"/>
      <c r="L14" s="160"/>
      <c r="M14" s="142"/>
    </row>
    <row r="15" spans="1:13" ht="19.5">
      <c r="A15" s="137">
        <f>+A14+1</f>
        <v>2</v>
      </c>
      <c r="B15" s="138"/>
      <c r="C15" s="133" t="s">
        <v>384</v>
      </c>
      <c r="D15" s="138"/>
      <c r="E15" s="351">
        <f>'KP WS H-1-Detail of Tax Amts'!E13</f>
        <v>24000</v>
      </c>
      <c r="F15" s="133"/>
      <c r="G15" s="160"/>
      <c r="H15" s="160"/>
      <c r="I15" s="160"/>
      <c r="J15" s="160"/>
      <c r="K15" s="160"/>
      <c r="L15" s="160"/>
      <c r="M15" s="142">
        <f>+E15</f>
        <v>24000</v>
      </c>
    </row>
    <row r="16" spans="1:13" ht="19.5">
      <c r="A16" s="137"/>
      <c r="B16" s="138"/>
      <c r="C16" s="143"/>
      <c r="D16" s="138"/>
      <c r="E16" s="350"/>
      <c r="F16" s="133"/>
      <c r="G16" s="160"/>
      <c r="H16" s="160"/>
      <c r="I16" s="160"/>
      <c r="J16" s="160"/>
      <c r="K16" s="160"/>
      <c r="L16" s="160"/>
      <c r="M16" s="142"/>
    </row>
    <row r="17" spans="1:13" ht="19.5">
      <c r="A17" s="137">
        <f>+A15+1</f>
        <v>3</v>
      </c>
      <c r="B17" s="138"/>
      <c r="C17" s="141" t="s">
        <v>401</v>
      </c>
      <c r="D17" s="138"/>
      <c r="E17" s="350"/>
      <c r="F17" s="133"/>
      <c r="G17" s="160"/>
      <c r="H17" s="160"/>
      <c r="I17" s="160"/>
      <c r="J17" s="160"/>
      <c r="K17" s="160"/>
      <c r="L17" s="160"/>
      <c r="M17" s="142"/>
    </row>
    <row r="18" spans="1:15" ht="19.5">
      <c r="A18" s="137">
        <f>+A17+1</f>
        <v>4</v>
      </c>
      <c r="B18" s="138"/>
      <c r="C18" s="136" t="s">
        <v>813</v>
      </c>
      <c r="D18" s="136"/>
      <c r="E18" s="351">
        <f>'KP WS H-1-Detail of Tax Amts'!E20</f>
        <v>12849463</v>
      </c>
      <c r="F18" s="136"/>
      <c r="G18" s="160">
        <f>+E18</f>
        <v>12849463</v>
      </c>
      <c r="H18" s="160"/>
      <c r="I18" s="160"/>
      <c r="J18" s="160"/>
      <c r="K18" s="160"/>
      <c r="L18" s="160"/>
      <c r="M18" s="142"/>
      <c r="O18"/>
    </row>
    <row r="19" spans="1:15" ht="19.5">
      <c r="A19" s="137">
        <f>+A18+1</f>
        <v>5</v>
      </c>
      <c r="B19" s="138"/>
      <c r="C19" s="136" t="s">
        <v>837</v>
      </c>
      <c r="D19" s="136"/>
      <c r="E19" s="351">
        <f>'KP WS H-1-Detail of Tax Amts'!E30</f>
        <v>2647424</v>
      </c>
      <c r="F19" s="136"/>
      <c r="G19" s="160">
        <f>+E19</f>
        <v>2647424</v>
      </c>
      <c r="H19" s="160"/>
      <c r="I19" s="160"/>
      <c r="J19" s="160"/>
      <c r="K19" s="160"/>
      <c r="L19" s="160"/>
      <c r="M19" s="142"/>
      <c r="O19"/>
    </row>
    <row r="20" spans="1:15" ht="19.5">
      <c r="A20" s="137">
        <f>+A19+1</f>
        <v>6</v>
      </c>
      <c r="B20" s="138"/>
      <c r="C20" s="136" t="s">
        <v>589</v>
      </c>
      <c r="D20" s="276"/>
      <c r="E20" s="351">
        <f>'KP WS H-1-Detail of Tax Amts'!E37</f>
        <v>0</v>
      </c>
      <c r="F20" s="133"/>
      <c r="G20" s="160">
        <f>E20</f>
        <v>0</v>
      </c>
      <c r="H20" s="160"/>
      <c r="I20" s="160"/>
      <c r="J20" s="160"/>
      <c r="K20" s="160"/>
      <c r="L20" s="160"/>
      <c r="M20" s="142"/>
      <c r="O20"/>
    </row>
    <row r="21" spans="1:15" ht="19.5">
      <c r="A21" s="137"/>
      <c r="B21" s="138"/>
      <c r="C21" s="143"/>
      <c r="D21" s="138"/>
      <c r="E21" s="350"/>
      <c r="F21" s="133"/>
      <c r="G21" s="160"/>
      <c r="H21" s="160"/>
      <c r="I21" s="160"/>
      <c r="J21" s="160"/>
      <c r="K21" s="160"/>
      <c r="L21" s="160"/>
      <c r="M21" s="142"/>
      <c r="O21" s="273"/>
    </row>
    <row r="22" spans="1:15" ht="19.5">
      <c r="A22" s="137">
        <f>+A20+1</f>
        <v>7</v>
      </c>
      <c r="B22" s="138"/>
      <c r="C22" s="141" t="s">
        <v>402</v>
      </c>
      <c r="D22" s="138"/>
      <c r="E22" s="350"/>
      <c r="F22" s="133"/>
      <c r="G22" s="160"/>
      <c r="H22" s="160"/>
      <c r="I22" s="160"/>
      <c r="J22" s="160"/>
      <c r="K22" s="160"/>
      <c r="L22" s="160"/>
      <c r="M22" s="142"/>
      <c r="O22" s="273"/>
    </row>
    <row r="23" spans="1:15" ht="19.5">
      <c r="A23" s="137">
        <f>+A22+1</f>
        <v>8</v>
      </c>
      <c r="B23" s="138"/>
      <c r="C23" s="136" t="s">
        <v>398</v>
      </c>
      <c r="D23" s="138"/>
      <c r="E23" s="351">
        <f>'KP WS H-1-Detail of Tax Amts'!E44</f>
        <v>2597038</v>
      </c>
      <c r="F23" s="133"/>
      <c r="G23" s="160"/>
      <c r="H23" s="160"/>
      <c r="I23" s="160">
        <f>+E23</f>
        <v>2597038</v>
      </c>
      <c r="J23" s="160"/>
      <c r="K23" s="160"/>
      <c r="L23" s="160"/>
      <c r="M23" s="142"/>
      <c r="O23" s="273"/>
    </row>
    <row r="24" spans="1:13" ht="19.5">
      <c r="A24" s="137">
        <f>+A23+1</f>
        <v>9</v>
      </c>
      <c r="B24" s="138"/>
      <c r="C24" s="136" t="s">
        <v>391</v>
      </c>
      <c r="D24" s="138"/>
      <c r="E24" s="351">
        <f>'KP WS H-1-Detail of Tax Amts'!E46</f>
        <v>14509</v>
      </c>
      <c r="F24" s="133"/>
      <c r="G24" s="133"/>
      <c r="H24" s="133"/>
      <c r="I24" s="142">
        <f>+E24</f>
        <v>14509</v>
      </c>
      <c r="J24" s="136"/>
      <c r="K24" s="133"/>
      <c r="L24" s="133"/>
      <c r="M24" s="142"/>
    </row>
    <row r="25" spans="1:13" ht="19.5">
      <c r="A25" s="137">
        <f>+A24+1</f>
        <v>10</v>
      </c>
      <c r="B25" s="138"/>
      <c r="C25" s="136" t="s">
        <v>392</v>
      </c>
      <c r="D25" s="138"/>
      <c r="E25" s="351">
        <f>'KP WS H-1-Detail of Tax Amts'!E48</f>
        <v>53142</v>
      </c>
      <c r="F25" s="133"/>
      <c r="G25" s="133"/>
      <c r="H25" s="133"/>
      <c r="I25" s="142">
        <f>+E25</f>
        <v>53142</v>
      </c>
      <c r="J25" s="140"/>
      <c r="K25" s="133"/>
      <c r="L25" s="133"/>
      <c r="M25" s="142"/>
    </row>
    <row r="26" spans="1:13" ht="19.5">
      <c r="A26" s="137" t="s">
        <v>146</v>
      </c>
      <c r="B26" s="138"/>
      <c r="C26" s="133"/>
      <c r="D26" s="138"/>
      <c r="E26" s="350"/>
      <c r="F26" s="133"/>
      <c r="G26" s="133"/>
      <c r="H26" s="133"/>
      <c r="I26" s="152"/>
      <c r="J26" s="153"/>
      <c r="K26" s="156"/>
      <c r="L26" s="156"/>
      <c r="M26" s="142"/>
    </row>
    <row r="27" spans="1:13" ht="19.5">
      <c r="A27" s="137">
        <f>A25+1</f>
        <v>11</v>
      </c>
      <c r="B27" s="138"/>
      <c r="C27" s="141" t="s">
        <v>562</v>
      </c>
      <c r="D27" s="138"/>
      <c r="E27" s="350"/>
      <c r="F27" s="133"/>
      <c r="G27" s="133"/>
      <c r="H27" s="133"/>
      <c r="I27" s="152"/>
      <c r="J27" s="153"/>
      <c r="K27" s="156"/>
      <c r="L27" s="156"/>
      <c r="M27" s="142"/>
    </row>
    <row r="28" spans="1:13" ht="19.5">
      <c r="A28" s="137">
        <f>A27+1</f>
        <v>12</v>
      </c>
      <c r="B28" s="138"/>
      <c r="C28" s="148" t="s">
        <v>563</v>
      </c>
      <c r="D28" s="276"/>
      <c r="E28" s="351">
        <f>'KP WS H-1-Detail of Tax Amts'!E53</f>
        <v>0</v>
      </c>
      <c r="F28" s="148"/>
      <c r="G28" s="133"/>
      <c r="H28" s="133"/>
      <c r="I28" s="152"/>
      <c r="J28" s="153"/>
      <c r="K28" s="156"/>
      <c r="L28" s="156"/>
      <c r="M28" s="142">
        <f>E28</f>
        <v>0</v>
      </c>
    </row>
    <row r="29" spans="1:13" ht="19.5">
      <c r="A29" s="137"/>
      <c r="B29" s="138"/>
      <c r="C29" s="133"/>
      <c r="D29" s="138"/>
      <c r="E29" s="350"/>
      <c r="F29" s="133"/>
      <c r="G29" s="133"/>
      <c r="H29" s="133"/>
      <c r="I29" s="152"/>
      <c r="J29" s="153"/>
      <c r="K29" s="156"/>
      <c r="L29" s="156"/>
      <c r="M29" s="142"/>
    </row>
    <row r="30" spans="1:13" ht="19.5">
      <c r="A30" s="145">
        <f>+A28+1</f>
        <v>13</v>
      </c>
      <c r="B30" s="146"/>
      <c r="C30" s="141" t="s">
        <v>399</v>
      </c>
      <c r="D30" s="147"/>
      <c r="E30" s="350"/>
      <c r="F30" s="133"/>
      <c r="G30" s="142"/>
      <c r="H30" s="142"/>
      <c r="I30" s="142"/>
      <c r="J30" s="142"/>
      <c r="K30" s="142"/>
      <c r="L30" s="142"/>
      <c r="M30" s="142"/>
    </row>
    <row r="31" spans="1:13" ht="19.5">
      <c r="A31" s="145">
        <f>A30+1</f>
        <v>14</v>
      </c>
      <c r="B31" s="146"/>
      <c r="C31" s="133" t="s">
        <v>561</v>
      </c>
      <c r="D31" s="147"/>
      <c r="E31" s="351">
        <f>'KP WS H-1-Detail of Tax Amts'!E57</f>
        <v>5783000</v>
      </c>
      <c r="F31" s="148"/>
      <c r="G31" s="142"/>
      <c r="H31" s="142"/>
      <c r="I31" s="142"/>
      <c r="J31" s="142"/>
      <c r="K31" s="142"/>
      <c r="L31" s="142"/>
      <c r="M31" s="142">
        <f>E31</f>
        <v>5783000</v>
      </c>
    </row>
    <row r="32" spans="1:13" ht="19.5">
      <c r="A32" s="137">
        <f>A31+1</f>
        <v>15</v>
      </c>
      <c r="B32" s="138"/>
      <c r="C32" s="133" t="s">
        <v>393</v>
      </c>
      <c r="D32" s="138"/>
      <c r="E32" s="192">
        <f>'KP WS H-1-Detail of Tax Amts'!E61</f>
        <v>1137600</v>
      </c>
      <c r="F32" s="133"/>
      <c r="G32" s="142"/>
      <c r="H32" s="142"/>
      <c r="I32" s="142"/>
      <c r="J32" s="142"/>
      <c r="K32" s="142">
        <f>+E32</f>
        <v>1137600</v>
      </c>
      <c r="L32" s="142"/>
      <c r="M32" s="142"/>
    </row>
    <row r="33" spans="1:13" ht="19.5">
      <c r="A33" s="137">
        <f aca="true" t="shared" si="0" ref="A33:A38">+A32+1</f>
        <v>16</v>
      </c>
      <c r="B33" s="138"/>
      <c r="C33" s="133" t="s">
        <v>394</v>
      </c>
      <c r="D33"/>
      <c r="E33" s="192">
        <f>'KP WS H-1-Detail of Tax Amts'!E65</f>
        <v>0</v>
      </c>
      <c r="F33" s="133"/>
      <c r="G33" s="192"/>
      <c r="H33" s="192"/>
      <c r="I33" s="192"/>
      <c r="J33" s="192"/>
      <c r="K33" s="142">
        <f>+E33</f>
        <v>0</v>
      </c>
      <c r="L33" s="192"/>
      <c r="M33" s="142"/>
    </row>
    <row r="34" spans="1:13" ht="19.5">
      <c r="A34" s="137">
        <f>+A33+1</f>
        <v>17</v>
      </c>
      <c r="B34" s="138"/>
      <c r="C34" s="133" t="s">
        <v>395</v>
      </c>
      <c r="D34"/>
      <c r="E34" s="192">
        <f>'KP WS H-1-Detail of Tax Amts'!E69</f>
        <v>0</v>
      </c>
      <c r="F34" s="133"/>
      <c r="G34" s="142"/>
      <c r="H34" s="142"/>
      <c r="I34" s="142"/>
      <c r="J34" s="142"/>
      <c r="K34" s="142">
        <f>+E34</f>
        <v>0</v>
      </c>
      <c r="L34" s="142"/>
      <c r="M34" s="142"/>
    </row>
    <row r="35" spans="1:13" ht="19.5">
      <c r="A35" s="137">
        <f t="shared" si="0"/>
        <v>18</v>
      </c>
      <c r="B35" s="138"/>
      <c r="C35" s="133" t="s">
        <v>396</v>
      </c>
      <c r="D35" s="138"/>
      <c r="E35" s="192">
        <f>'KP WS H-1-Detail of Tax Amts'!E76</f>
        <v>0</v>
      </c>
      <c r="F35" s="133"/>
      <c r="G35" s="142"/>
      <c r="H35" s="142"/>
      <c r="I35" s="142"/>
      <c r="J35" s="142"/>
      <c r="K35" s="142">
        <f>+E35</f>
        <v>0</v>
      </c>
      <c r="L35" s="142"/>
      <c r="M35" s="142"/>
    </row>
    <row r="36" spans="1:13" ht="19.5">
      <c r="A36" s="137">
        <f t="shared" si="0"/>
        <v>19</v>
      </c>
      <c r="B36" s="138"/>
      <c r="C36" s="133" t="s">
        <v>397</v>
      </c>
      <c r="D36" s="138"/>
      <c r="E36" s="192">
        <f>'KP WS H-1-Detail of Tax Amts'!E79</f>
        <v>12400</v>
      </c>
      <c r="F36" s="148"/>
      <c r="G36" s="142"/>
      <c r="H36" s="142"/>
      <c r="I36" s="142"/>
      <c r="J36" s="142"/>
      <c r="K36" s="142"/>
      <c r="L36" s="142"/>
      <c r="M36" s="142">
        <f>+E36</f>
        <v>12400</v>
      </c>
    </row>
    <row r="37" spans="1:13" ht="19.5">
      <c r="A37" s="137">
        <f t="shared" si="0"/>
        <v>20</v>
      </c>
      <c r="B37" s="133"/>
      <c r="C37" s="133" t="s">
        <v>385</v>
      </c>
      <c r="D37" s="133"/>
      <c r="E37" s="192">
        <f>'KP WS H-1-Detail of Tax Amts'!E83</f>
        <v>0</v>
      </c>
      <c r="F37" s="133"/>
      <c r="G37" s="142"/>
      <c r="H37" s="142"/>
      <c r="I37" s="142"/>
      <c r="J37" s="142"/>
      <c r="K37" s="142"/>
      <c r="L37" s="142"/>
      <c r="M37" s="142">
        <f>+E37</f>
        <v>0</v>
      </c>
    </row>
    <row r="38" spans="1:13" ht="19.5">
      <c r="A38" s="137">
        <f t="shared" si="0"/>
        <v>21</v>
      </c>
      <c r="B38" s="133"/>
      <c r="C38" s="159" t="s">
        <v>138</v>
      </c>
      <c r="D38" s="148"/>
      <c r="E38" s="192">
        <f>'KP WS H-1-Detail of Tax Amts'!E86</f>
        <v>0</v>
      </c>
      <c r="F38" s="148"/>
      <c r="G38" s="142"/>
      <c r="H38" s="142"/>
      <c r="I38" s="142"/>
      <c r="J38" s="142"/>
      <c r="K38" s="142"/>
      <c r="L38" s="142"/>
      <c r="M38" s="142">
        <f>+E38</f>
        <v>0</v>
      </c>
    </row>
    <row r="39" spans="1:13" ht="19.5">
      <c r="A39" s="7"/>
      <c r="B39" s="286"/>
      <c r="C39" s="286"/>
      <c r="D39"/>
      <c r="E39"/>
      <c r="F39" s="133"/>
      <c r="H39" s="151"/>
      <c r="I39" s="154"/>
      <c r="J39" s="154"/>
      <c r="K39" s="156"/>
      <c r="L39" s="157"/>
      <c r="M39" s="157"/>
    </row>
    <row r="40" spans="1:13" ht="20.25" thickBot="1">
      <c r="A40" s="291">
        <f>+A38+1</f>
        <v>22</v>
      </c>
      <c r="B40" s="286"/>
      <c r="C40" s="133" t="s">
        <v>388</v>
      </c>
      <c r="D40"/>
      <c r="E40" s="158">
        <f>SUM(E15:E38)</f>
        <v>25118576</v>
      </c>
      <c r="F40" s="133"/>
      <c r="G40" s="158">
        <f>SUM(G15:G38)</f>
        <v>15496887</v>
      </c>
      <c r="H40" s="151"/>
      <c r="I40" s="158">
        <f>SUM(I15:I38)</f>
        <v>2664689</v>
      </c>
      <c r="J40" s="154"/>
      <c r="K40" s="158">
        <f>SUM(K15:K38)</f>
        <v>1137600</v>
      </c>
      <c r="L40" s="157"/>
      <c r="M40" s="158">
        <f>SUM(M15:M38)</f>
        <v>5819400</v>
      </c>
    </row>
    <row r="41" spans="1:13" ht="20.25" thickTop="1">
      <c r="A41" s="7"/>
      <c r="B41" s="286"/>
      <c r="C41" s="133" t="s">
        <v>483</v>
      </c>
      <c r="D41"/>
      <c r="E41"/>
      <c r="F41" s="133"/>
      <c r="G41" s="151"/>
      <c r="H41" s="151"/>
      <c r="I41" s="154"/>
      <c r="J41" s="155"/>
      <c r="K41" s="157"/>
      <c r="L41" s="157"/>
      <c r="M41" s="157"/>
    </row>
    <row r="42" spans="1:13" ht="19.5">
      <c r="A42" s="7"/>
      <c r="B42" s="286"/>
      <c r="C42" s="148" t="s">
        <v>110</v>
      </c>
      <c r="D42"/>
      <c r="E42"/>
      <c r="F42" s="133"/>
      <c r="G42" s="151"/>
      <c r="H42" s="151"/>
      <c r="I42" s="154"/>
      <c r="J42" s="155"/>
      <c r="K42" s="157"/>
      <c r="L42" s="157"/>
      <c r="M42" s="157"/>
    </row>
    <row r="43" spans="1:13" ht="19.5">
      <c r="A43" s="7"/>
      <c r="B43" s="286"/>
      <c r="C43" s="1222" t="s">
        <v>588</v>
      </c>
      <c r="D43" s="1222"/>
      <c r="E43" s="1222"/>
      <c r="F43" s="1222"/>
      <c r="G43" s="1222"/>
      <c r="H43" s="1222"/>
      <c r="I43" s="1222"/>
      <c r="J43" s="1222"/>
      <c r="K43" s="1222"/>
      <c r="L43" s="1222"/>
      <c r="M43" s="1222"/>
    </row>
    <row r="44" spans="1:13" ht="19.5">
      <c r="A44" s="137"/>
      <c r="C44" s="133"/>
      <c r="D44" s="133"/>
      <c r="E44" s="162" t="s">
        <v>304</v>
      </c>
      <c r="G44" s="162" t="s">
        <v>412</v>
      </c>
      <c r="H44" s="162"/>
      <c r="I44" s="162" t="s">
        <v>538</v>
      </c>
      <c r="J44" s="162"/>
      <c r="K44" s="162" t="s">
        <v>413</v>
      </c>
      <c r="L44" s="162"/>
      <c r="M44" s="162" t="s">
        <v>150</v>
      </c>
    </row>
    <row r="45" spans="1:13" ht="19.5">
      <c r="A45" s="188">
        <f>+A40+1</f>
        <v>23</v>
      </c>
      <c r="B45" s="189"/>
      <c r="C45" s="301" t="str">
        <f>"Functionalized Net Plant (TCOS, Lns "&amp;'KP TCOS'!B95&amp;" thru "&amp;'KP TCOS'!B105&amp;")"</f>
        <v>Functionalized Net Plant (TCOS, Lns 48 thru 58)</v>
      </c>
      <c r="D45" s="148"/>
      <c r="E45" s="302">
        <f>+'KP TCOS'!G95</f>
        <v>763077644.5</v>
      </c>
      <c r="F45" s="301"/>
      <c r="G45" s="302">
        <f>+'KP TCOS'!G96</f>
        <v>383752556.5</v>
      </c>
      <c r="H45" s="301"/>
      <c r="I45" s="302">
        <f>+'KP TCOS'!G102</f>
        <v>568966932</v>
      </c>
      <c r="J45" s="301"/>
      <c r="K45" s="303">
        <f>+'KP TCOS'!G103</f>
        <v>27382863.5</v>
      </c>
      <c r="L45" s="148"/>
      <c r="M45" s="190">
        <f>SUM(E45:K45)</f>
        <v>1743179996.5</v>
      </c>
    </row>
    <row r="46" spans="1:13" ht="19.5">
      <c r="A46" s="188"/>
      <c r="B46" s="189"/>
      <c r="C46" s="143" t="s">
        <v>838</v>
      </c>
      <c r="D46" s="148"/>
      <c r="E46" s="190"/>
      <c r="F46" s="148"/>
      <c r="G46" s="264"/>
      <c r="H46" s="148"/>
      <c r="I46" s="190"/>
      <c r="J46" s="148"/>
      <c r="K46" s="191"/>
      <c r="L46" s="148"/>
      <c r="M46" s="271"/>
    </row>
    <row r="47" spans="1:13" ht="19.5">
      <c r="A47" s="188">
        <f>+A45+1</f>
        <v>24</v>
      </c>
      <c r="B47" s="189"/>
      <c r="C47" s="148" t="str">
        <f>"Percentage of Plant in "&amp;C46&amp;""</f>
        <v>Percentage of Plant in KENTUCKY JURISDICTION</v>
      </c>
      <c r="D47" s="148"/>
      <c r="E47" s="1087">
        <v>0.0337</v>
      </c>
      <c r="F47" s="409"/>
      <c r="G47" s="1087">
        <v>0.9831</v>
      </c>
      <c r="H47" s="409"/>
      <c r="I47" s="1087">
        <v>1</v>
      </c>
      <c r="J47" s="264"/>
      <c r="K47" s="1087">
        <v>0.9995</v>
      </c>
      <c r="L47" s="148"/>
      <c r="M47" s="271"/>
    </row>
    <row r="48" spans="1:15" ht="19.5">
      <c r="A48" s="188">
        <f aca="true" t="shared" si="1" ref="A48:A54">+A47+1</f>
        <v>25</v>
      </c>
      <c r="B48" s="189"/>
      <c r="C48" s="301" t="str">
        <f>"Net Plant in "&amp;C46&amp;" (Ln "&amp;A45&amp;" * Ln "&amp;A47&amp;")"</f>
        <v>Net Plant in KENTUCKY JURISDICTION (Ln 23 * Ln 24)</v>
      </c>
      <c r="D48" s="148"/>
      <c r="E48" s="190">
        <f>+E45*E47</f>
        <v>25715716.61965</v>
      </c>
      <c r="F48" s="148"/>
      <c r="G48" s="190">
        <f>+G45*G47</f>
        <v>377267138.29515</v>
      </c>
      <c r="H48" s="148"/>
      <c r="I48" s="190">
        <f>+I45*I47</f>
        <v>568966932</v>
      </c>
      <c r="J48" s="148"/>
      <c r="K48" s="190">
        <f>+K45*K47</f>
        <v>27369172.06825</v>
      </c>
      <c r="L48" s="148"/>
      <c r="M48" s="190">
        <f>SUM(E48:K48)</f>
        <v>999318958.9830499</v>
      </c>
      <c r="O48"/>
    </row>
    <row r="49" spans="1:15" ht="19.5">
      <c r="A49" s="188">
        <f t="shared" si="1"/>
        <v>26</v>
      </c>
      <c r="B49" s="189"/>
      <c r="C49" s="301" t="s">
        <v>291</v>
      </c>
      <c r="D49" s="148"/>
      <c r="E49" s="1088">
        <v>43340713</v>
      </c>
      <c r="F49" s="148"/>
      <c r="G49" s="261"/>
      <c r="H49" s="148"/>
      <c r="I49" s="261"/>
      <c r="J49" s="148"/>
      <c r="K49" s="262"/>
      <c r="L49" s="148"/>
      <c r="M49" s="190"/>
      <c r="O49"/>
    </row>
    <row r="50" spans="1:15" ht="19.5">
      <c r="A50" s="188">
        <f t="shared" si="1"/>
        <v>27</v>
      </c>
      <c r="B50" s="189"/>
      <c r="C50" s="148" t="str">
        <f>"Taxable Property Basis (Ln "&amp;A48&amp;" - Ln "&amp;A49&amp;")"</f>
        <v>Taxable Property Basis (Ln 25 - Ln 26)</v>
      </c>
      <c r="D50" s="148"/>
      <c r="E50" s="190">
        <f>+E48-E49</f>
        <v>-17624996.38035</v>
      </c>
      <c r="F50" s="148"/>
      <c r="G50" s="190">
        <f>+G48-G49</f>
        <v>377267138.29515</v>
      </c>
      <c r="H50" s="148"/>
      <c r="I50" s="190">
        <f>+I48-I49</f>
        <v>568966932</v>
      </c>
      <c r="J50" s="148"/>
      <c r="K50" s="190">
        <f>+K48-K49</f>
        <v>27369172.06825</v>
      </c>
      <c r="L50" s="148"/>
      <c r="M50" s="190">
        <f>SUM(E50:K50)</f>
        <v>955978245.9830499</v>
      </c>
      <c r="O50"/>
    </row>
    <row r="51" spans="1:15" ht="19.5">
      <c r="A51" s="188">
        <f t="shared" si="1"/>
        <v>28</v>
      </c>
      <c r="B51" s="189"/>
      <c r="C51" s="192" t="s">
        <v>587</v>
      </c>
      <c r="D51" s="148"/>
      <c r="E51" s="1087">
        <v>0.33</v>
      </c>
      <c r="F51" s="409"/>
      <c r="G51" s="1087">
        <v>1</v>
      </c>
      <c r="H51" s="409"/>
      <c r="I51" s="1087">
        <v>1</v>
      </c>
      <c r="J51" s="264"/>
      <c r="K51" s="1087">
        <v>1</v>
      </c>
      <c r="L51" s="148"/>
      <c r="M51" s="248">
        <f>SUM(E51:K51)</f>
        <v>3.33</v>
      </c>
      <c r="O51"/>
    </row>
    <row r="52" spans="1:21" ht="19.5">
      <c r="A52" s="188">
        <f t="shared" si="1"/>
        <v>29</v>
      </c>
      <c r="B52" s="189"/>
      <c r="C52" s="301" t="str">
        <f>"Weighted Net Plant (Ln "&amp;A50&amp;" * Ln "&amp;A51&amp;")"</f>
        <v>Weighted Net Plant (Ln 27 * Ln 28)</v>
      </c>
      <c r="D52" s="148"/>
      <c r="E52" s="190">
        <f>+E50*E51</f>
        <v>-5816248.805515501</v>
      </c>
      <c r="F52" s="148"/>
      <c r="G52" s="190">
        <f>+G50*G51</f>
        <v>377267138.29515</v>
      </c>
      <c r="H52" s="148"/>
      <c r="I52" s="190">
        <f>+I50*I51</f>
        <v>568966932</v>
      </c>
      <c r="J52" s="148"/>
      <c r="K52" s="190">
        <f>+K50*K51</f>
        <v>27369172.06825</v>
      </c>
      <c r="L52" s="148"/>
      <c r="M52" s="190"/>
      <c r="O52"/>
      <c r="P52"/>
      <c r="Q52"/>
      <c r="R52"/>
      <c r="S52"/>
      <c r="T52"/>
      <c r="U52"/>
    </row>
    <row r="53" spans="1:21" ht="19.5">
      <c r="A53" s="188">
        <f t="shared" si="1"/>
        <v>30</v>
      </c>
      <c r="B53" s="189"/>
      <c r="C53" s="148" t="str">
        <f>+"General Plant Allocator (Ln "&amp;A52&amp;" / (Total - General Plant))"</f>
        <v>General Plant Allocator (Ln 29 / (Total - General Plant))</v>
      </c>
      <c r="D53" s="148"/>
      <c r="E53" s="193">
        <f>IF(E51=0,0,+E52/($E52+$G52+$I52))</f>
        <v>-0.006184749664040271</v>
      </c>
      <c r="F53" s="148"/>
      <c r="G53" s="193">
        <f>IF(G51=0,0,+G52/($E52+$G52+$I52))</f>
        <v>0.40116970316189215</v>
      </c>
      <c r="H53" s="148"/>
      <c r="I53" s="193">
        <f>IF(I51=0,0,+I52/($E52+$G52+$I52))</f>
        <v>0.6050150465021481</v>
      </c>
      <c r="J53" s="148"/>
      <c r="K53" s="193">
        <v>-1</v>
      </c>
      <c r="L53" s="148"/>
      <c r="M53" s="148"/>
      <c r="O53"/>
      <c r="P53"/>
      <c r="Q53"/>
      <c r="R53"/>
      <c r="S53"/>
      <c r="T53"/>
      <c r="U53"/>
    </row>
    <row r="54" spans="1:21" ht="19.5">
      <c r="A54" s="188">
        <f t="shared" si="1"/>
        <v>31</v>
      </c>
      <c r="B54" s="189"/>
      <c r="C54" s="148" t="str">
        <f>"Functionalized General Plant (Ln "&amp;A53&amp;" * General Plant)"</f>
        <v>Functionalized General Plant (Ln 30 * General Plant)</v>
      </c>
      <c r="D54" s="148"/>
      <c r="E54" s="194">
        <f>ROUND($K52*E53,0)</f>
        <v>-169271</v>
      </c>
      <c r="F54" s="148"/>
      <c r="G54" s="194">
        <f>+G53*K52</f>
        <v>10979682.634406602</v>
      </c>
      <c r="H54" s="148"/>
      <c r="I54" s="194">
        <f>ROUND($K52*I53,0)</f>
        <v>16558761</v>
      </c>
      <c r="J54" s="148"/>
      <c r="K54" s="194">
        <f>ROUND($K52*K53,0)</f>
        <v>-27369172</v>
      </c>
      <c r="L54" s="148"/>
      <c r="M54" s="190">
        <f>IF(SUM(E54:K54)&lt;&gt;0,0,0)</f>
        <v>0</v>
      </c>
      <c r="O54"/>
      <c r="P54"/>
      <c r="Q54"/>
      <c r="R54"/>
      <c r="S54"/>
      <c r="T54"/>
      <c r="U54"/>
    </row>
    <row r="55" spans="1:15" ht="19.5">
      <c r="A55" s="188">
        <f>+A54+1</f>
        <v>32</v>
      </c>
      <c r="B55" s="189"/>
      <c r="C55" s="148" t="str">
        <f>"Weighted "&amp;C46&amp;" Plant (Ln "&amp;A52&amp;" + "&amp;A54&amp;")"</f>
        <v>Weighted KENTUCKY JURISDICTION Plant (Ln 29 + 31)</v>
      </c>
      <c r="D55" s="148"/>
      <c r="E55" s="190">
        <f>+E52+E54</f>
        <v>-5985519.805515501</v>
      </c>
      <c r="F55" s="148"/>
      <c r="G55" s="191">
        <f>+G52+G54</f>
        <v>388246820.9295566</v>
      </c>
      <c r="H55" s="148"/>
      <c r="I55" s="190">
        <f>+I52+I54</f>
        <v>585525693</v>
      </c>
      <c r="J55" s="148"/>
      <c r="K55" s="190">
        <f>+K52+K54</f>
        <v>0.06825000047683716</v>
      </c>
      <c r="L55" s="148"/>
      <c r="M55" s="190">
        <f>SUM(E55:K55)-SUM(E54:K54)</f>
        <v>967786993.5578845</v>
      </c>
      <c r="O55"/>
    </row>
    <row r="56" spans="1:15" ht="20.25" thickBot="1">
      <c r="A56" s="188">
        <f>+A55+1</f>
        <v>33</v>
      </c>
      <c r="B56" s="189"/>
      <c r="C56" s="148" t="str">
        <f>"Functional Percentage (Ln "&amp;A55&amp;"/Total Ln "&amp;A55&amp;")"</f>
        <v>Functional Percentage (Ln 32/Total Ln 32)</v>
      </c>
      <c r="D56" s="148"/>
      <c r="E56" s="264">
        <f>+E55/M55</f>
        <v>-0.006184749170383947</v>
      </c>
      <c r="F56" s="148"/>
      <c r="G56" s="266">
        <f>+G55/M55</f>
        <v>0.4011697031618922</v>
      </c>
      <c r="H56" s="148"/>
      <c r="I56" s="264">
        <f>+I55/M55</f>
        <v>0.605015046593493</v>
      </c>
      <c r="J56" s="148"/>
      <c r="K56"/>
      <c r="L56" s="148"/>
      <c r="M56" s="190"/>
      <c r="O56"/>
    </row>
    <row r="57" spans="1:15" ht="20.25" thickBot="1">
      <c r="A57" s="188">
        <f>+A56+1</f>
        <v>34</v>
      </c>
      <c r="B57" s="189"/>
      <c r="C57" s="148" t="str">
        <f>"Functionalized Expense in "&amp;C46&amp;""</f>
        <v>Functionalized Expense in KENTUCKY JURISDICTION</v>
      </c>
      <c r="D57" s="148"/>
      <c r="E57" s="263">
        <f>+E56*M57</f>
        <v>-79470.70562912922</v>
      </c>
      <c r="F57" s="148"/>
      <c r="G57" s="263">
        <f>+G56*M57</f>
        <v>5154815.257499717</v>
      </c>
      <c r="H57" s="148"/>
      <c r="I57" s="263">
        <f>+I56*M57</f>
        <v>7774118.455646365</v>
      </c>
      <c r="J57" s="148"/>
      <c r="K57" s="22"/>
      <c r="L57" s="148"/>
      <c r="M57" s="267">
        <f>G18</f>
        <v>12849463</v>
      </c>
      <c r="O57"/>
    </row>
    <row r="58" spans="1:15" ht="19.5">
      <c r="A58" s="188"/>
      <c r="B58" s="189"/>
      <c r="C58" s="413" t="s">
        <v>774</v>
      </c>
      <c r="D58" s="148"/>
      <c r="E58" s="190"/>
      <c r="F58" s="148"/>
      <c r="G58" s="266"/>
      <c r="H58" s="148"/>
      <c r="I58" s="190"/>
      <c r="J58" s="148"/>
      <c r="K58" s="264"/>
      <c r="L58" s="148"/>
      <c r="M58" s="190"/>
      <c r="O58"/>
    </row>
    <row r="59" spans="1:15" ht="19.5">
      <c r="A59" s="188">
        <f>+A57+1</f>
        <v>35</v>
      </c>
      <c r="B59" s="189"/>
      <c r="C59" s="148" t="str">
        <f>"Net Plant in "&amp;C58&amp;" (Ln "&amp;A45&amp;" - Ln "&amp;A48&amp;" )"</f>
        <v>Net Plant in WEST VA JURISDICTION (Ln 23 - Ln 25 )</v>
      </c>
      <c r="D59" s="148"/>
      <c r="E59" s="190">
        <f>+E45-E48</f>
        <v>737361927.88035</v>
      </c>
      <c r="F59" s="148"/>
      <c r="G59" s="190">
        <f>+G45-G48</f>
        <v>6485418.204850018</v>
      </c>
      <c r="H59" s="148"/>
      <c r="I59" s="190">
        <f>+I45-I48</f>
        <v>0</v>
      </c>
      <c r="J59" s="148"/>
      <c r="K59" s="190">
        <f>+K45-K48</f>
        <v>13691.431749999523</v>
      </c>
      <c r="L59" s="148"/>
      <c r="M59" s="190">
        <f>SUM(E59:K59)</f>
        <v>743861037.5169501</v>
      </c>
      <c r="O59"/>
    </row>
    <row r="60" spans="1:15" ht="19.5">
      <c r="A60" s="188">
        <f aca="true" t="shared" si="2" ref="A60:A66">+A59+1</f>
        <v>36</v>
      </c>
      <c r="B60" s="189"/>
      <c r="C60" s="148" t="s">
        <v>775</v>
      </c>
      <c r="D60" s="148"/>
      <c r="E60" s="1088">
        <v>464647356</v>
      </c>
      <c r="F60" s="415"/>
      <c r="G60" s="416"/>
      <c r="H60" s="415"/>
      <c r="I60" s="416"/>
      <c r="J60" s="415"/>
      <c r="K60" s="417"/>
      <c r="L60" s="148"/>
      <c r="M60" s="190"/>
      <c r="O60"/>
    </row>
    <row r="61" spans="1:15" ht="19.5">
      <c r="A61" s="188">
        <f t="shared" si="2"/>
        <v>37</v>
      </c>
      <c r="B61" s="189"/>
      <c r="C61" s="148" t="s">
        <v>776</v>
      </c>
      <c r="D61" s="148"/>
      <c r="E61" s="414">
        <f>+E59-E60</f>
        <v>272714571.88035</v>
      </c>
      <c r="F61" s="415"/>
      <c r="G61" s="190">
        <f>+G59-G60</f>
        <v>6485418.204850018</v>
      </c>
      <c r="H61" s="148"/>
      <c r="I61" s="190">
        <f>+I59-I60</f>
        <v>0</v>
      </c>
      <c r="J61" s="148"/>
      <c r="K61" s="190">
        <f>+K59-K60</f>
        <v>13691.431749999523</v>
      </c>
      <c r="L61" s="148"/>
      <c r="M61" s="190">
        <f>SUM(E61:K61)</f>
        <v>279213681.51695</v>
      </c>
      <c r="O61"/>
    </row>
    <row r="62" spans="1:15" ht="19.5">
      <c r="A62" s="188">
        <f t="shared" si="2"/>
        <v>38</v>
      </c>
      <c r="B62" s="189"/>
      <c r="C62" s="192" t="s">
        <v>587</v>
      </c>
      <c r="D62" s="148"/>
      <c r="E62" s="1087">
        <v>1</v>
      </c>
      <c r="F62" s="409"/>
      <c r="G62" s="1087">
        <v>1</v>
      </c>
      <c r="H62" s="409"/>
      <c r="I62" s="1087">
        <v>1</v>
      </c>
      <c r="J62" s="264"/>
      <c r="K62" s="1087">
        <v>1</v>
      </c>
      <c r="L62" s="148"/>
      <c r="M62" s="190"/>
      <c r="O62"/>
    </row>
    <row r="63" spans="1:15" ht="19.5">
      <c r="A63" s="188">
        <f t="shared" si="2"/>
        <v>39</v>
      </c>
      <c r="B63" s="189"/>
      <c r="C63" s="148" t="str">
        <f>"Weighted Net Plant (Ln "&amp;A61&amp;" * Ln "&amp;A62&amp;")"</f>
        <v>Weighted Net Plant (Ln 37 * Ln 38)</v>
      </c>
      <c r="D63" s="148"/>
      <c r="E63" s="414">
        <f>+E61*E62</f>
        <v>272714571.88035</v>
      </c>
      <c r="F63" s="415"/>
      <c r="G63" s="190">
        <f>+G61*G62</f>
        <v>6485418.204850018</v>
      </c>
      <c r="H63" s="148"/>
      <c r="I63" s="190">
        <f>+I61*I62</f>
        <v>0</v>
      </c>
      <c r="J63" s="148"/>
      <c r="K63" s="190">
        <f>+K61*K62</f>
        <v>13691.431749999523</v>
      </c>
      <c r="L63" s="148"/>
      <c r="M63" s="190"/>
      <c r="O63"/>
    </row>
    <row r="64" spans="1:15" ht="19.5">
      <c r="A64" s="188">
        <f t="shared" si="2"/>
        <v>40</v>
      </c>
      <c r="B64" s="189"/>
      <c r="C64" s="148" t="str">
        <f>+"General Plant Allocator (Ln "&amp;A63&amp;" / (Total - General Plant)"</f>
        <v>General Plant Allocator (Ln 39 / (Total - General Plant)</v>
      </c>
      <c r="D64" s="148"/>
      <c r="E64" s="418">
        <f>IF(E62=0,0,+E63/($E63+$G63+$I63))</f>
        <v>0.9767714239428484</v>
      </c>
      <c r="F64" s="415"/>
      <c r="G64" s="193">
        <f>IF(G62=0,0,+G63/($E63+$G63+$I63))</f>
        <v>0.023228576057151517</v>
      </c>
      <c r="H64" s="148"/>
      <c r="I64" s="193">
        <f>IF(I62=0,0,+I63/($E63+$G63+$I63))</f>
        <v>0</v>
      </c>
      <c r="J64" s="148"/>
      <c r="K64" s="193">
        <v>-1</v>
      </c>
      <c r="L64" s="148"/>
      <c r="M64" s="190"/>
      <c r="O64"/>
    </row>
    <row r="65" spans="1:15" ht="19.5">
      <c r="A65" s="188">
        <f t="shared" si="2"/>
        <v>41</v>
      </c>
      <c r="B65" s="189"/>
      <c r="C65" s="148" t="str">
        <f>"Functionalized General Plant (Ln "&amp;A65&amp;" * General Plant)"</f>
        <v>Functionalized General Plant (Ln 41 * General Plant)</v>
      </c>
      <c r="D65" s="148"/>
      <c r="E65" s="419">
        <f>ROUND($K63*E64,0)</f>
        <v>13373</v>
      </c>
      <c r="F65" s="415"/>
      <c r="G65" s="194">
        <f>ROUND($K63*G64,0)</f>
        <v>318</v>
      </c>
      <c r="H65" s="148"/>
      <c r="I65" s="194">
        <f>ROUND($K63*I64,0)</f>
        <v>0</v>
      </c>
      <c r="J65" s="148"/>
      <c r="K65" s="194">
        <f>ROUND($K63*K64,0)</f>
        <v>-13691</v>
      </c>
      <c r="L65" s="148"/>
      <c r="M65" s="190"/>
      <c r="O65"/>
    </row>
    <row r="66" spans="1:15" ht="19.5">
      <c r="A66" s="188">
        <f t="shared" si="2"/>
        <v>42</v>
      </c>
      <c r="B66" s="189"/>
      <c r="C66" s="148" t="str">
        <f>"Weighted "&amp;C58&amp;" Plant (Ln "&amp;A63&amp;" + "&amp;A65&amp;")"</f>
        <v>Weighted WEST VA JURISDICTION Plant (Ln 39 + 41)</v>
      </c>
      <c r="D66" s="148"/>
      <c r="E66" s="414">
        <f>+E63+E65</f>
        <v>272727944.88035</v>
      </c>
      <c r="F66" s="415"/>
      <c r="G66" s="191">
        <f>+G63+G65</f>
        <v>6485736.204850018</v>
      </c>
      <c r="H66" s="148"/>
      <c r="I66" s="190">
        <f>+I63+I65</f>
        <v>0</v>
      </c>
      <c r="J66" s="148"/>
      <c r="K66" s="190">
        <f>+K63+K65</f>
        <v>0.43174999952316284</v>
      </c>
      <c r="L66" s="148"/>
      <c r="M66" s="190">
        <f>SUM(E66:K66)-SUM(E65:K65)</f>
        <v>279213681.51695</v>
      </c>
      <c r="O66"/>
    </row>
    <row r="67" spans="1:15" ht="20.25" thickBot="1">
      <c r="A67" s="188">
        <f>+A66+1</f>
        <v>43</v>
      </c>
      <c r="B67" s="189"/>
      <c r="C67" s="148" t="str">
        <f>"Functional Percentage (Ln "&amp;A66&amp;"/Total Ln "&amp;A66&amp;")"</f>
        <v>Functional Percentage (Ln 42/Total Ln 42)</v>
      </c>
      <c r="D67" s="148"/>
      <c r="E67" s="412">
        <f>+E66/M66</f>
        <v>0.9767714225128101</v>
      </c>
      <c r="F67" s="415"/>
      <c r="G67" s="266">
        <f>+G66/M66</f>
        <v>0.023228575940883088</v>
      </c>
      <c r="H67" s="148"/>
      <c r="I67" s="264">
        <f>+I66/M66</f>
        <v>0</v>
      </c>
      <c r="J67" s="22"/>
      <c r="K67" s="22"/>
      <c r="L67" s="148"/>
      <c r="M67" s="190"/>
      <c r="O67"/>
    </row>
    <row r="68" spans="1:15" ht="20.25" thickBot="1">
      <c r="A68" s="188">
        <f>+A67+1</f>
        <v>44</v>
      </c>
      <c r="B68" s="189"/>
      <c r="C68" s="148" t="str">
        <f>"Functionalized Expense in "&amp;C58&amp;""</f>
        <v>Functionalized Expense in WEST VA JURISDICTION</v>
      </c>
      <c r="D68" s="148"/>
      <c r="E68" s="420">
        <f>+E67*M68</f>
        <v>2585928.1064745537</v>
      </c>
      <c r="F68" s="415"/>
      <c r="G68" s="263">
        <f>+G67*M68</f>
        <v>61495.88943171647</v>
      </c>
      <c r="H68" s="148"/>
      <c r="I68" s="263">
        <f>+I67*M68</f>
        <v>0</v>
      </c>
      <c r="J68" s="22"/>
      <c r="K68" s="22"/>
      <c r="L68" s="148"/>
      <c r="M68" s="267">
        <f>G19</f>
        <v>2647424</v>
      </c>
      <c r="O68"/>
    </row>
    <row r="69" spans="1:15" ht="20.25" thickBot="1">
      <c r="A69" s="188"/>
      <c r="B69" s="189"/>
      <c r="C69" s="148"/>
      <c r="D69" s="148"/>
      <c r="E69" s="260"/>
      <c r="F69" s="148"/>
      <c r="G69" s="260"/>
      <c r="H69" s="148"/>
      <c r="I69" s="260"/>
      <c r="J69" s="148"/>
      <c r="K69"/>
      <c r="L69" s="148"/>
      <c r="M69" s="191"/>
      <c r="O69"/>
    </row>
    <row r="70" spans="1:15" ht="20.25" thickBot="1">
      <c r="A70" s="188">
        <f>A68+1</f>
        <v>45</v>
      </c>
      <c r="B70" s="189"/>
      <c r="C70" s="148" t="str">
        <f>"Total Other Jurisdictions: (Line "&amp;A20&amp;" * Net Plant Allocator)"</f>
        <v>Total Other Jurisdictions: (Line 6 * Net Plant Allocator)</v>
      </c>
      <c r="D70" s="148"/>
      <c r="E70" s="260"/>
      <c r="F70" s="148"/>
      <c r="G70" s="260">
        <f>+M70*NP_h</f>
        <v>0</v>
      </c>
      <c r="H70" s="148"/>
      <c r="I70" s="260"/>
      <c r="J70" s="148"/>
      <c r="K70" s="260"/>
      <c r="L70" s="148"/>
      <c r="M70" s="267">
        <f>G20</f>
        <v>0</v>
      </c>
      <c r="O70"/>
    </row>
    <row r="71" spans="1:15" ht="19.5">
      <c r="A71" s="188"/>
      <c r="B71" s="189"/>
      <c r="C71" s="148"/>
      <c r="D71" s="148"/>
      <c r="E71" s="190"/>
      <c r="F71"/>
      <c r="G71" s="191"/>
      <c r="H71"/>
      <c r="I71" s="264"/>
      <c r="J71"/>
      <c r="K71" s="190"/>
      <c r="L71" s="148"/>
      <c r="M71" s="190"/>
      <c r="O71"/>
    </row>
    <row r="72" spans="1:15" ht="20.25" thickBot="1">
      <c r="A72" s="188">
        <f>+A70+1</f>
        <v>46</v>
      </c>
      <c r="B72" s="189"/>
      <c r="C72" s="148" t="str">
        <f>"Total Func. Property Taxes (Sum Lns "&amp;A57&amp;", "&amp;A68&amp;", "&amp;A70&amp;")"</f>
        <v>Total Func. Property Taxes (Sum Lns 34, 44, 45)</v>
      </c>
      <c r="D72" s="148"/>
      <c r="E72" s="265">
        <f>+E70+E57+E68</f>
        <v>2506457.4008454243</v>
      </c>
      <c r="F72"/>
      <c r="G72" s="265">
        <f>+G70+G57+G68</f>
        <v>5216311.146931434</v>
      </c>
      <c r="H72"/>
      <c r="I72" s="265">
        <f>+I70+I57+I68</f>
        <v>7774118.455646365</v>
      </c>
      <c r="J72"/>
      <c r="K72"/>
      <c r="L72" s="148"/>
      <c r="M72" s="265">
        <f>+M70+M57+M68</f>
        <v>15496887</v>
      </c>
      <c r="O72"/>
    </row>
    <row r="73" spans="1:15" ht="20.25" thickTop="1">
      <c r="A73" s="188"/>
      <c r="B73" s="189"/>
      <c r="C73" s="148"/>
      <c r="D73" s="148"/>
      <c r="E73" s="192"/>
      <c r="F73" s="192"/>
      <c r="G73" s="192"/>
      <c r="H73" s="192"/>
      <c r="I73" s="192"/>
      <c r="J73" s="148"/>
      <c r="K73" s="260"/>
      <c r="L73" s="148"/>
      <c r="M73" s="192"/>
      <c r="O73"/>
    </row>
    <row r="74" ht="12.75">
      <c r="O74"/>
    </row>
    <row r="75" ht="12.75">
      <c r="O75"/>
    </row>
    <row r="76" spans="7:15" ht="12.75">
      <c r="G76" s="270"/>
      <c r="O76"/>
    </row>
    <row r="217" ht="15.75" thickBot="1"/>
    <row r="218" ht="20.25" thickBot="1">
      <c r="G218" s="195" t="e">
        <f>IF(#REF!&lt;&gt;0,+#REF!/#REF!*#REF!,0)</f>
        <v>#REF!</v>
      </c>
    </row>
  </sheetData>
  <sheetProtection password="CA99" sheet="1" objects="1" scenarios="1"/>
  <mergeCells count="7">
    <mergeCell ref="A6:M6"/>
    <mergeCell ref="A5:M5"/>
    <mergeCell ref="C43:M43"/>
    <mergeCell ref="A1:M1"/>
    <mergeCell ref="A2:M2"/>
    <mergeCell ref="A3:M3"/>
    <mergeCell ref="A4:M4"/>
  </mergeCells>
  <printOptions/>
  <pageMargins left="0.59" right="0.84" top="1" bottom="1" header="0.75" footer="0.5"/>
  <pageSetup fitToHeight="1" fitToWidth="1" horizontalDpi="600" verticalDpi="600" orientation="portrait" scale="37"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2017-03-01T18:21:46Z</cp:lastPrinted>
  <dcterms:created xsi:type="dcterms:W3CDTF">2005-06-15T14:56:19Z</dcterms:created>
  <dcterms:modified xsi:type="dcterms:W3CDTF">2017-03-12T13:03:31Z</dcterms:modified>
  <cp:category/>
  <cp:version/>
  <cp:contentType/>
  <cp:contentStatus/>
</cp:coreProperties>
</file>